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05" windowWidth="14430" windowHeight="9135" tabRatio="903"/>
  </bookViews>
  <sheets>
    <sheet name="Sudbury 2018" sheetId="52" r:id="rId1"/>
    <sheet name="BH Ponka 2018" sheetId="49" r:id="rId2"/>
    <sheet name="BH Wampa-Chick 2018" sheetId="48" r:id="rId3"/>
    <sheet name="BH GB-Houghton 2018" sheetId="47" r:id="rId4"/>
    <sheet name="BH Houghton 2018" sheetId="50" r:id="rId5"/>
    <sheet name="BH Chick 2018" sheetId="51" r:id="rId6"/>
    <sheet name="BH 2018" sheetId="46" r:id="rId7"/>
    <sheet name="Wachusett 2018" sheetId="43" r:id="rId8"/>
    <sheet name="Boylston 2016" sheetId="17" r:id="rId9"/>
    <sheet name="French Hill 2018" sheetId="45" r:id="rId10"/>
    <sheet name="Justice Brook 2016 Moose" sheetId="29" r:id="rId11"/>
    <sheet name="Justice Brook 2016" sheetId="19" r:id="rId12"/>
    <sheet name="Sudbury 2016" sheetId="25" r:id="rId13"/>
    <sheet name="Sheet1" sheetId="20" r:id="rId14"/>
    <sheet name="Quabbin Park 2015" sheetId="28" r:id="rId15"/>
    <sheet name="Index" sheetId="33" r:id="rId16"/>
  </sheets>
  <calcPr calcId="145621"/>
</workbook>
</file>

<file path=xl/calcChain.xml><?xml version="1.0" encoding="utf-8"?>
<calcChain xmlns="http://schemas.openxmlformats.org/spreadsheetml/2006/main">
  <c r="AE69" i="52" l="1"/>
  <c r="AE68" i="52"/>
  <c r="M68" i="52"/>
  <c r="K68" i="52"/>
  <c r="I68" i="52"/>
  <c r="G68" i="52"/>
  <c r="E68" i="52"/>
  <c r="C68" i="52"/>
  <c r="Z65" i="52"/>
  <c r="Y65" i="52"/>
  <c r="X65" i="52"/>
  <c r="W65" i="52"/>
  <c r="V65" i="52"/>
  <c r="U65" i="52"/>
  <c r="T65" i="52"/>
  <c r="S65" i="52"/>
  <c r="R65" i="52"/>
  <c r="Q65" i="52"/>
  <c r="P65" i="52"/>
  <c r="O65" i="52"/>
  <c r="N65" i="52"/>
  <c r="M65" i="52"/>
  <c r="L65" i="52"/>
  <c r="K65" i="52"/>
  <c r="J65" i="52"/>
  <c r="I65" i="52"/>
  <c r="H65" i="52"/>
  <c r="G65" i="52"/>
  <c r="F65" i="52"/>
  <c r="E65" i="52"/>
  <c r="D65" i="52"/>
  <c r="C65" i="52"/>
  <c r="Z61" i="52"/>
  <c r="Z62" i="52" s="1"/>
  <c r="Z63" i="52" s="1"/>
  <c r="Y61" i="52"/>
  <c r="Y62" i="52" s="1"/>
  <c r="Y63" i="52" s="1"/>
  <c r="X61" i="52"/>
  <c r="X62" i="52" s="1"/>
  <c r="W61" i="52"/>
  <c r="W62" i="52" s="1"/>
  <c r="W63" i="52" s="1"/>
  <c r="V61" i="52"/>
  <c r="V62" i="52" s="1"/>
  <c r="V63" i="52" s="1"/>
  <c r="U61" i="52"/>
  <c r="U62" i="52" s="1"/>
  <c r="U63" i="52" s="1"/>
  <c r="T61" i="52"/>
  <c r="T62" i="52" s="1"/>
  <c r="S61" i="52"/>
  <c r="S62" i="52" s="1"/>
  <c r="S63" i="52" s="1"/>
  <c r="R61" i="52"/>
  <c r="R62" i="52" s="1"/>
  <c r="R63" i="52" s="1"/>
  <c r="Q61" i="52"/>
  <c r="Q62" i="52" s="1"/>
  <c r="Q63" i="52" s="1"/>
  <c r="P61" i="52"/>
  <c r="P62" i="52" s="1"/>
  <c r="O61" i="52"/>
  <c r="O62" i="52" s="1"/>
  <c r="O63" i="52" s="1"/>
  <c r="N61" i="52"/>
  <c r="N62" i="52" s="1"/>
  <c r="N63" i="52" s="1"/>
  <c r="M61" i="52"/>
  <c r="M62" i="52" s="1"/>
  <c r="M63" i="52" s="1"/>
  <c r="L61" i="52"/>
  <c r="L62" i="52" s="1"/>
  <c r="K61" i="52"/>
  <c r="K62" i="52" s="1"/>
  <c r="K63" i="52" s="1"/>
  <c r="J61" i="52"/>
  <c r="J62" i="52" s="1"/>
  <c r="J63" i="52" s="1"/>
  <c r="I61" i="52"/>
  <c r="I62" i="52" s="1"/>
  <c r="I63" i="52" s="1"/>
  <c r="H61" i="52"/>
  <c r="H62" i="52" s="1"/>
  <c r="G61" i="52"/>
  <c r="G62" i="52" s="1"/>
  <c r="G63" i="52" s="1"/>
  <c r="F61" i="52"/>
  <c r="F62" i="52" s="1"/>
  <c r="F63" i="52" s="1"/>
  <c r="E61" i="52"/>
  <c r="E62" i="52" s="1"/>
  <c r="E63" i="52" s="1"/>
  <c r="D61" i="52"/>
  <c r="D62" i="52" s="1"/>
  <c r="C61" i="52"/>
  <c r="Z60" i="52"/>
  <c r="Y60" i="52"/>
  <c r="X60" i="52"/>
  <c r="W60" i="52"/>
  <c r="V60" i="52"/>
  <c r="U60" i="52"/>
  <c r="T60" i="52"/>
  <c r="S60" i="52"/>
  <c r="R60" i="52"/>
  <c r="Q60" i="52"/>
  <c r="P60" i="52"/>
  <c r="O60" i="52"/>
  <c r="N60" i="52"/>
  <c r="M60" i="52"/>
  <c r="L60" i="52"/>
  <c r="K60" i="52"/>
  <c r="J60" i="52"/>
  <c r="I60" i="52"/>
  <c r="H60" i="52"/>
  <c r="G60" i="52"/>
  <c r="F60" i="52"/>
  <c r="E60" i="52"/>
  <c r="D60" i="52"/>
  <c r="C60" i="52"/>
  <c r="B52" i="52"/>
  <c r="B53" i="52" s="1"/>
  <c r="B54" i="52" s="1"/>
  <c r="B55" i="52" s="1"/>
  <c r="B56" i="52" s="1"/>
  <c r="B57" i="52" s="1"/>
  <c r="B58" i="52" s="1"/>
  <c r="B59" i="52" s="1"/>
  <c r="B41" i="52"/>
  <c r="B42" i="52" s="1"/>
  <c r="B43" i="52" s="1"/>
  <c r="B44" i="52" s="1"/>
  <c r="B5" i="52"/>
  <c r="B6" i="52" s="1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4" i="52"/>
  <c r="K71" i="52" l="1"/>
  <c r="E71" i="52"/>
  <c r="I71" i="52"/>
  <c r="M71" i="52"/>
  <c r="G71" i="52"/>
  <c r="C71" i="52"/>
  <c r="Z64" i="52"/>
  <c r="Y64" i="52"/>
  <c r="V64" i="52"/>
  <c r="K70" i="52"/>
  <c r="U64" i="52"/>
  <c r="R64" i="52"/>
  <c r="Q64" i="52"/>
  <c r="N64" i="52"/>
  <c r="M64" i="52"/>
  <c r="I70" i="52"/>
  <c r="O64" i="52"/>
  <c r="S64" i="52"/>
  <c r="W64" i="52"/>
  <c r="K64" i="52"/>
  <c r="E70" i="52"/>
  <c r="G70" i="52"/>
  <c r="I64" i="52"/>
  <c r="J64" i="52"/>
  <c r="C70" i="52"/>
  <c r="AA61" i="52"/>
  <c r="AE71" i="52" s="1"/>
  <c r="C62" i="52"/>
  <c r="C63" i="52" s="1"/>
  <c r="M69" i="52"/>
  <c r="D63" i="52"/>
  <c r="K69" i="52" s="1"/>
  <c r="D64" i="52"/>
  <c r="L63" i="52"/>
  <c r="L64" i="52"/>
  <c r="P63" i="52"/>
  <c r="P64" i="52"/>
  <c r="T63" i="52"/>
  <c r="T64" i="52"/>
  <c r="X63" i="52"/>
  <c r="I69" i="52" s="1"/>
  <c r="X64" i="52"/>
  <c r="C69" i="52"/>
  <c r="G69" i="52"/>
  <c r="H63" i="52"/>
  <c r="H64" i="52"/>
  <c r="M70" i="52"/>
  <c r="AA60" i="52"/>
  <c r="AE60" i="52"/>
  <c r="E64" i="52"/>
  <c r="F64" i="52"/>
  <c r="AE57" i="52"/>
  <c r="AE70" i="52" s="1"/>
  <c r="AE59" i="52"/>
  <c r="G64" i="52"/>
  <c r="P86" i="45"/>
  <c r="P85" i="45"/>
  <c r="P84" i="45"/>
  <c r="P83" i="45"/>
  <c r="R83" i="45"/>
  <c r="G79" i="45"/>
  <c r="G78" i="45"/>
  <c r="G76" i="45"/>
  <c r="G77" i="45"/>
  <c r="E79" i="45"/>
  <c r="E78" i="45"/>
  <c r="E77" i="45"/>
  <c r="C81" i="45"/>
  <c r="C83" i="45"/>
  <c r="C82" i="45"/>
  <c r="C79" i="45"/>
  <c r="C78" i="45"/>
  <c r="C77" i="45"/>
  <c r="C76" i="45"/>
  <c r="I79" i="45"/>
  <c r="I78" i="45"/>
  <c r="I77" i="45"/>
  <c r="D71" i="45"/>
  <c r="E76" i="45"/>
  <c r="K75" i="52" l="1"/>
  <c r="G75" i="52"/>
  <c r="P70" i="52"/>
  <c r="C75" i="52"/>
  <c r="C73" i="52"/>
  <c r="C74" i="52"/>
  <c r="G73" i="52"/>
  <c r="G74" i="52"/>
  <c r="AA62" i="52"/>
  <c r="AA63" i="52" s="1"/>
  <c r="AE58" i="52"/>
  <c r="C64" i="52"/>
  <c r="AE62" i="52" s="1"/>
  <c r="I74" i="52"/>
  <c r="I75" i="52"/>
  <c r="I73" i="52"/>
  <c r="AE72" i="52"/>
  <c r="K73" i="52"/>
  <c r="K74" i="52"/>
  <c r="E69" i="52"/>
  <c r="M75" i="52"/>
  <c r="M74" i="52"/>
  <c r="M73" i="52"/>
  <c r="K71" i="49"/>
  <c r="BZ82" i="46"/>
  <c r="BZ91" i="46"/>
  <c r="AB80" i="48"/>
  <c r="AB89" i="48"/>
  <c r="AB88" i="48"/>
  <c r="AC85" i="48"/>
  <c r="AC86" i="48"/>
  <c r="K75" i="47"/>
  <c r="K74" i="47"/>
  <c r="K73" i="47"/>
  <c r="K72" i="47"/>
  <c r="I72" i="47"/>
  <c r="Z69" i="47"/>
  <c r="Y69" i="47"/>
  <c r="X69" i="47"/>
  <c r="W69" i="47"/>
  <c r="V69" i="47"/>
  <c r="U69" i="47"/>
  <c r="T69" i="47"/>
  <c r="S69" i="47"/>
  <c r="R69" i="47"/>
  <c r="Q69" i="47"/>
  <c r="Z66" i="47"/>
  <c r="Z67" i="47" s="1"/>
  <c r="V66" i="47"/>
  <c r="V67" i="47" s="1"/>
  <c r="R66" i="47"/>
  <c r="R67" i="47" s="1"/>
  <c r="Z65" i="47"/>
  <c r="Y65" i="47"/>
  <c r="Y66" i="47" s="1"/>
  <c r="Y67" i="47" s="1"/>
  <c r="X65" i="47"/>
  <c r="X66" i="47" s="1"/>
  <c r="X67" i="47" s="1"/>
  <c r="W65" i="47"/>
  <c r="W66" i="47" s="1"/>
  <c r="W67" i="47" s="1"/>
  <c r="V65" i="47"/>
  <c r="U65" i="47"/>
  <c r="U66" i="47" s="1"/>
  <c r="U67" i="47" s="1"/>
  <c r="T65" i="47"/>
  <c r="T66" i="47" s="1"/>
  <c r="T67" i="47" s="1"/>
  <c r="S65" i="47"/>
  <c r="S66" i="47" s="1"/>
  <c r="S67" i="47" s="1"/>
  <c r="R65" i="47"/>
  <c r="Q65" i="47"/>
  <c r="Q66" i="47" s="1"/>
  <c r="Q67" i="47" s="1"/>
  <c r="Z64" i="47"/>
  <c r="Z68" i="47" s="1"/>
  <c r="Y64" i="47"/>
  <c r="X64" i="47"/>
  <c r="X68" i="47" s="1"/>
  <c r="W64" i="47"/>
  <c r="W68" i="47" s="1"/>
  <c r="V64" i="47"/>
  <c r="V68" i="47" s="1"/>
  <c r="U64" i="47"/>
  <c r="T64" i="47"/>
  <c r="T68" i="47" s="1"/>
  <c r="S64" i="47"/>
  <c r="S68" i="47" s="1"/>
  <c r="R64" i="47"/>
  <c r="R68" i="47" s="1"/>
  <c r="Q64" i="47"/>
  <c r="P69" i="48"/>
  <c r="O69" i="48"/>
  <c r="N69" i="48"/>
  <c r="M69" i="48"/>
  <c r="L69" i="48"/>
  <c r="K69" i="48"/>
  <c r="J69" i="48"/>
  <c r="I69" i="48"/>
  <c r="H69" i="48"/>
  <c r="M66" i="48"/>
  <c r="M67" i="48" s="1"/>
  <c r="I66" i="48"/>
  <c r="I67" i="48" s="1"/>
  <c r="P65" i="48"/>
  <c r="P66" i="48" s="1"/>
  <c r="P67" i="48" s="1"/>
  <c r="O65" i="48"/>
  <c r="O66" i="48" s="1"/>
  <c r="O67" i="48" s="1"/>
  <c r="N65" i="48"/>
  <c r="N66" i="48" s="1"/>
  <c r="N67" i="48" s="1"/>
  <c r="M65" i="48"/>
  <c r="L65" i="48"/>
  <c r="L66" i="48" s="1"/>
  <c r="L67" i="48" s="1"/>
  <c r="K73" i="48" s="1"/>
  <c r="K65" i="48"/>
  <c r="K66" i="48" s="1"/>
  <c r="K67" i="48" s="1"/>
  <c r="J65" i="48"/>
  <c r="J66" i="48" s="1"/>
  <c r="J67" i="48" s="1"/>
  <c r="I65" i="48"/>
  <c r="H65" i="48"/>
  <c r="H66" i="48" s="1"/>
  <c r="H67" i="48" s="1"/>
  <c r="P64" i="48"/>
  <c r="P68" i="48" s="1"/>
  <c r="O64" i="48"/>
  <c r="O68" i="48" s="1"/>
  <c r="N64" i="48"/>
  <c r="N68" i="48" s="1"/>
  <c r="M64" i="48"/>
  <c r="M68" i="48" s="1"/>
  <c r="L64" i="48"/>
  <c r="L68" i="48" s="1"/>
  <c r="K64" i="48"/>
  <c r="K68" i="48" s="1"/>
  <c r="J64" i="48"/>
  <c r="J68" i="48" s="1"/>
  <c r="I64" i="48"/>
  <c r="I68" i="48" s="1"/>
  <c r="H64" i="48"/>
  <c r="H68" i="48" s="1"/>
  <c r="K75" i="48"/>
  <c r="K72" i="48"/>
  <c r="BZ85" i="46"/>
  <c r="K74" i="46"/>
  <c r="Q79" i="51"/>
  <c r="Q78" i="51"/>
  <c r="V82" i="50"/>
  <c r="V81" i="50"/>
  <c r="V80" i="50"/>
  <c r="V79" i="50"/>
  <c r="V78" i="50"/>
  <c r="V65" i="50"/>
  <c r="V67" i="50"/>
  <c r="H67" i="50"/>
  <c r="V64" i="50"/>
  <c r="C74" i="50"/>
  <c r="C73" i="50"/>
  <c r="C76" i="50" s="1"/>
  <c r="C72" i="50"/>
  <c r="C77" i="52" l="1"/>
  <c r="G77" i="52"/>
  <c r="AA64" i="52"/>
  <c r="AE61" i="52"/>
  <c r="AE64" i="52" s="1"/>
  <c r="M77" i="52"/>
  <c r="E74" i="52"/>
  <c r="E73" i="52"/>
  <c r="E75" i="52"/>
  <c r="K77" i="52"/>
  <c r="I77" i="52"/>
  <c r="Q68" i="47"/>
  <c r="U68" i="47"/>
  <c r="Y68" i="47"/>
  <c r="K74" i="48"/>
  <c r="C77" i="50"/>
  <c r="C80" i="50" s="1"/>
  <c r="C78" i="50"/>
  <c r="C69" i="47"/>
  <c r="E77" i="52" l="1"/>
  <c r="AE77" i="52"/>
  <c r="AG77" i="52" s="1"/>
  <c r="AE75" i="52"/>
  <c r="AB73" i="52"/>
  <c r="AE78" i="52"/>
  <c r="AG78" i="52" s="1"/>
  <c r="AE79" i="52"/>
  <c r="AE76" i="52"/>
  <c r="AA73" i="52"/>
  <c r="AB74" i="52"/>
  <c r="AA74" i="52"/>
  <c r="AA75" i="52"/>
  <c r="AB75" i="52"/>
  <c r="S97" i="51"/>
  <c r="T97" i="51" s="1"/>
  <c r="S96" i="51"/>
  <c r="T96" i="51" s="1"/>
  <c r="S95" i="51"/>
  <c r="T95" i="51" s="1"/>
  <c r="S94" i="51"/>
  <c r="T94" i="51" s="1"/>
  <c r="Q72" i="51"/>
  <c r="Q71" i="51"/>
  <c r="N71" i="51"/>
  <c r="L71" i="51"/>
  <c r="K68" i="51"/>
  <c r="J68" i="51"/>
  <c r="I68" i="51"/>
  <c r="H68" i="51"/>
  <c r="G68" i="51"/>
  <c r="F68" i="51"/>
  <c r="E68" i="51"/>
  <c r="D68" i="51"/>
  <c r="C68" i="51"/>
  <c r="K64" i="51"/>
  <c r="K65" i="51" s="1"/>
  <c r="J64" i="51"/>
  <c r="J65" i="51" s="1"/>
  <c r="J66" i="51" s="1"/>
  <c r="I64" i="51"/>
  <c r="I65" i="51" s="1"/>
  <c r="I66" i="51" s="1"/>
  <c r="H64" i="51"/>
  <c r="H65" i="51" s="1"/>
  <c r="H66" i="51" s="1"/>
  <c r="G64" i="51"/>
  <c r="G65" i="51" s="1"/>
  <c r="F64" i="51"/>
  <c r="F65" i="51" s="1"/>
  <c r="F66" i="51" s="1"/>
  <c r="E64" i="51"/>
  <c r="E65" i="51" s="1"/>
  <c r="E66" i="51" s="1"/>
  <c r="D64" i="51"/>
  <c r="D65" i="51" s="1"/>
  <c r="D66" i="51" s="1"/>
  <c r="C64" i="51"/>
  <c r="C65" i="51" s="1"/>
  <c r="K63" i="51"/>
  <c r="J63" i="51"/>
  <c r="I63" i="51"/>
  <c r="H63" i="51"/>
  <c r="G63" i="51"/>
  <c r="F63" i="51"/>
  <c r="E63" i="51"/>
  <c r="D63" i="51"/>
  <c r="C63" i="51"/>
  <c r="B53" i="51"/>
  <c r="B54" i="51" s="1"/>
  <c r="B55" i="51" s="1"/>
  <c r="B56" i="51" s="1"/>
  <c r="B57" i="51" s="1"/>
  <c r="B58" i="51" s="1"/>
  <c r="B52" i="51"/>
  <c r="B41" i="51"/>
  <c r="B42" i="51" s="1"/>
  <c r="B43" i="51" s="1"/>
  <c r="B44" i="51" s="1"/>
  <c r="B4" i="51"/>
  <c r="B5" i="51" s="1"/>
  <c r="B6" i="51" s="1"/>
  <c r="B7" i="51" s="1"/>
  <c r="B8" i="51" s="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X97" i="50"/>
  <c r="Y97" i="50" s="1"/>
  <c r="X96" i="50"/>
  <c r="Y96" i="50" s="1"/>
  <c r="X95" i="50"/>
  <c r="Y95" i="50" s="1"/>
  <c r="X94" i="50"/>
  <c r="Y94" i="50" s="1"/>
  <c r="V72" i="50"/>
  <c r="V71" i="50"/>
  <c r="S71" i="50"/>
  <c r="Q71" i="50"/>
  <c r="O71" i="50"/>
  <c r="L68" i="50"/>
  <c r="K68" i="50"/>
  <c r="J68" i="50"/>
  <c r="I68" i="50"/>
  <c r="H68" i="50"/>
  <c r="G68" i="50"/>
  <c r="F68" i="50"/>
  <c r="E68" i="50"/>
  <c r="D68" i="50"/>
  <c r="C68" i="50"/>
  <c r="Q64" i="50"/>
  <c r="Q65" i="50" s="1"/>
  <c r="Q66" i="50" s="1"/>
  <c r="P64" i="50"/>
  <c r="P65" i="50" s="1"/>
  <c r="P66" i="50" s="1"/>
  <c r="O64" i="50"/>
  <c r="O65" i="50" s="1"/>
  <c r="O66" i="50" s="1"/>
  <c r="N64" i="50"/>
  <c r="N65" i="50" s="1"/>
  <c r="N66" i="50" s="1"/>
  <c r="M64" i="50"/>
  <c r="M65" i="50" s="1"/>
  <c r="M66" i="50" s="1"/>
  <c r="L64" i="50"/>
  <c r="L65" i="50" s="1"/>
  <c r="L66" i="50" s="1"/>
  <c r="K64" i="50"/>
  <c r="K65" i="50" s="1"/>
  <c r="K66" i="50" s="1"/>
  <c r="J64" i="50"/>
  <c r="J65" i="50" s="1"/>
  <c r="J66" i="50" s="1"/>
  <c r="I64" i="50"/>
  <c r="I65" i="50" s="1"/>
  <c r="I66" i="50" s="1"/>
  <c r="H64" i="50"/>
  <c r="H65" i="50" s="1"/>
  <c r="H66" i="50" s="1"/>
  <c r="G64" i="50"/>
  <c r="G65" i="50" s="1"/>
  <c r="G66" i="50" s="1"/>
  <c r="F64" i="50"/>
  <c r="F65" i="50" s="1"/>
  <c r="F66" i="50" s="1"/>
  <c r="E64" i="50"/>
  <c r="E65" i="50" s="1"/>
  <c r="E66" i="50" s="1"/>
  <c r="D64" i="50"/>
  <c r="D65" i="50" s="1"/>
  <c r="D66" i="50" s="1"/>
  <c r="C64" i="50"/>
  <c r="C65" i="50" s="1"/>
  <c r="C66" i="50" s="1"/>
  <c r="Q63" i="50"/>
  <c r="P63" i="50"/>
  <c r="P67" i="50" s="1"/>
  <c r="O63" i="50"/>
  <c r="O67" i="50" s="1"/>
  <c r="N63" i="50"/>
  <c r="N67" i="50" s="1"/>
  <c r="M63" i="50"/>
  <c r="L63" i="50"/>
  <c r="K63" i="50"/>
  <c r="K67" i="50" s="1"/>
  <c r="J63" i="50"/>
  <c r="J67" i="50" s="1"/>
  <c r="I63" i="50"/>
  <c r="I67" i="50" s="1"/>
  <c r="H63" i="50"/>
  <c r="G63" i="50"/>
  <c r="F63" i="50"/>
  <c r="F67" i="50" s="1"/>
  <c r="E63" i="50"/>
  <c r="D63" i="50"/>
  <c r="C63" i="50"/>
  <c r="B52" i="50"/>
  <c r="B53" i="50" s="1"/>
  <c r="B54" i="50" s="1"/>
  <c r="B55" i="50" s="1"/>
  <c r="B56" i="50" s="1"/>
  <c r="B57" i="50" s="1"/>
  <c r="B58" i="50" s="1"/>
  <c r="B41" i="50"/>
  <c r="B42" i="50" s="1"/>
  <c r="B43" i="50" s="1"/>
  <c r="B44" i="50" s="1"/>
  <c r="B5" i="50"/>
  <c r="B6" i="50" s="1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4" i="50"/>
  <c r="X97" i="49"/>
  <c r="Y97" i="49" s="1"/>
  <c r="X96" i="49"/>
  <c r="Y96" i="49" s="1"/>
  <c r="X95" i="49"/>
  <c r="Y95" i="49" s="1"/>
  <c r="X94" i="49"/>
  <c r="Y94" i="49" s="1"/>
  <c r="V72" i="49"/>
  <c r="V71" i="49"/>
  <c r="I71" i="49"/>
  <c r="G71" i="49"/>
  <c r="E71" i="49"/>
  <c r="C71" i="49"/>
  <c r="Q68" i="49"/>
  <c r="P68" i="49"/>
  <c r="O68" i="49"/>
  <c r="N68" i="49"/>
  <c r="M68" i="49"/>
  <c r="L68" i="49"/>
  <c r="K68" i="49"/>
  <c r="J68" i="49"/>
  <c r="I68" i="49"/>
  <c r="H68" i="49"/>
  <c r="G68" i="49"/>
  <c r="F68" i="49"/>
  <c r="E68" i="49"/>
  <c r="D68" i="49"/>
  <c r="E74" i="49" s="1"/>
  <c r="C68" i="49"/>
  <c r="Q64" i="49"/>
  <c r="Q65" i="49" s="1"/>
  <c r="P64" i="49"/>
  <c r="P65" i="49" s="1"/>
  <c r="P66" i="49" s="1"/>
  <c r="O64" i="49"/>
  <c r="O65" i="49" s="1"/>
  <c r="O66" i="49" s="1"/>
  <c r="N64" i="49"/>
  <c r="N65" i="49" s="1"/>
  <c r="N66" i="49" s="1"/>
  <c r="M64" i="49"/>
  <c r="M65" i="49" s="1"/>
  <c r="L64" i="49"/>
  <c r="L65" i="49" s="1"/>
  <c r="L66" i="49" s="1"/>
  <c r="K64" i="49"/>
  <c r="K65" i="49" s="1"/>
  <c r="K66" i="49" s="1"/>
  <c r="J64" i="49"/>
  <c r="J65" i="49" s="1"/>
  <c r="J66" i="49" s="1"/>
  <c r="I64" i="49"/>
  <c r="I65" i="49" s="1"/>
  <c r="H64" i="49"/>
  <c r="H65" i="49" s="1"/>
  <c r="H66" i="49" s="1"/>
  <c r="G64" i="49"/>
  <c r="G65" i="49" s="1"/>
  <c r="G66" i="49" s="1"/>
  <c r="F64" i="49"/>
  <c r="F65" i="49" s="1"/>
  <c r="F66" i="49" s="1"/>
  <c r="E64" i="49"/>
  <c r="E65" i="49" s="1"/>
  <c r="D64" i="49"/>
  <c r="D65" i="49" s="1"/>
  <c r="D66" i="49" s="1"/>
  <c r="C64" i="49"/>
  <c r="Q63" i="49"/>
  <c r="P63" i="49"/>
  <c r="P67" i="49" s="1"/>
  <c r="O63" i="49"/>
  <c r="N63" i="49"/>
  <c r="M63" i="49"/>
  <c r="L63" i="49"/>
  <c r="L67" i="49" s="1"/>
  <c r="K63" i="49"/>
  <c r="J63" i="49"/>
  <c r="I63" i="49"/>
  <c r="H63" i="49"/>
  <c r="H67" i="49" s="1"/>
  <c r="G63" i="49"/>
  <c r="F63" i="49"/>
  <c r="E63" i="49"/>
  <c r="G73" i="49" s="1"/>
  <c r="D63" i="49"/>
  <c r="D67" i="49" s="1"/>
  <c r="C63" i="49"/>
  <c r="B52" i="49"/>
  <c r="B53" i="49" s="1"/>
  <c r="B54" i="49" s="1"/>
  <c r="B55" i="49" s="1"/>
  <c r="B56" i="49" s="1"/>
  <c r="B57" i="49" s="1"/>
  <c r="B58" i="49" s="1"/>
  <c r="B41" i="49"/>
  <c r="B42" i="49" s="1"/>
  <c r="B43" i="49" s="1"/>
  <c r="B44" i="49" s="1"/>
  <c r="B6" i="49"/>
  <c r="B7" i="49" s="1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5" i="49"/>
  <c r="B4" i="49"/>
  <c r="AD98" i="48"/>
  <c r="AE98" i="48" s="1"/>
  <c r="AE97" i="48"/>
  <c r="AD97" i="48"/>
  <c r="AD96" i="48"/>
  <c r="AE96" i="48" s="1"/>
  <c r="AD95" i="48"/>
  <c r="AE95" i="48" s="1"/>
  <c r="AB73" i="48"/>
  <c r="AB72" i="48"/>
  <c r="I72" i="48"/>
  <c r="G72" i="48"/>
  <c r="E72" i="48"/>
  <c r="C72" i="48"/>
  <c r="G69" i="48"/>
  <c r="F69" i="48"/>
  <c r="E69" i="48"/>
  <c r="D69" i="48"/>
  <c r="C69" i="48"/>
  <c r="G65" i="48"/>
  <c r="G66" i="48" s="1"/>
  <c r="G67" i="48" s="1"/>
  <c r="F65" i="48"/>
  <c r="F66" i="48" s="1"/>
  <c r="F67" i="48" s="1"/>
  <c r="E65" i="48"/>
  <c r="E66" i="48" s="1"/>
  <c r="E67" i="48" s="1"/>
  <c r="D65" i="48"/>
  <c r="D66" i="48" s="1"/>
  <c r="D67" i="48" s="1"/>
  <c r="C65" i="48"/>
  <c r="C66" i="48" s="1"/>
  <c r="C67" i="48" s="1"/>
  <c r="G64" i="48"/>
  <c r="G68" i="48" s="1"/>
  <c r="F64" i="48"/>
  <c r="I74" i="48" s="1"/>
  <c r="E64" i="48"/>
  <c r="D64" i="48"/>
  <c r="C64" i="48"/>
  <c r="C68" i="48" s="1"/>
  <c r="B53" i="48"/>
  <c r="B54" i="48" s="1"/>
  <c r="B55" i="48" s="1"/>
  <c r="B56" i="48" s="1"/>
  <c r="B57" i="48" s="1"/>
  <c r="B58" i="48" s="1"/>
  <c r="B59" i="48" s="1"/>
  <c r="B42" i="48"/>
  <c r="B43" i="48" s="1"/>
  <c r="B44" i="48" s="1"/>
  <c r="B45" i="48" s="1"/>
  <c r="B6" i="48"/>
  <c r="B7" i="48" s="1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5" i="48"/>
  <c r="AH98" i="47"/>
  <c r="AI98" i="47" s="1"/>
  <c r="AH97" i="47"/>
  <c r="AI97" i="47" s="1"/>
  <c r="AH96" i="47"/>
  <c r="AI96" i="47" s="1"/>
  <c r="AH95" i="47"/>
  <c r="AI95" i="47" s="1"/>
  <c r="AF73" i="47"/>
  <c r="AF72" i="47"/>
  <c r="G72" i="47"/>
  <c r="E72" i="47"/>
  <c r="C72" i="47"/>
  <c r="P69" i="47"/>
  <c r="O69" i="47"/>
  <c r="N69" i="47"/>
  <c r="M69" i="47"/>
  <c r="L69" i="47"/>
  <c r="K69" i="47"/>
  <c r="J69" i="47"/>
  <c r="I69" i="47"/>
  <c r="H69" i="47"/>
  <c r="G69" i="47"/>
  <c r="F69" i="47"/>
  <c r="E69" i="47"/>
  <c r="D69" i="47"/>
  <c r="P65" i="47"/>
  <c r="P66" i="47" s="1"/>
  <c r="P67" i="47" s="1"/>
  <c r="O65" i="47"/>
  <c r="O66" i="47" s="1"/>
  <c r="O67" i="47" s="1"/>
  <c r="N65" i="47"/>
  <c r="N66" i="47" s="1"/>
  <c r="N67" i="47" s="1"/>
  <c r="M65" i="47"/>
  <c r="M66" i="47" s="1"/>
  <c r="L65" i="47"/>
  <c r="L66" i="47" s="1"/>
  <c r="L67" i="47" s="1"/>
  <c r="K65" i="47"/>
  <c r="K66" i="47" s="1"/>
  <c r="K67" i="47" s="1"/>
  <c r="J65" i="47"/>
  <c r="J66" i="47" s="1"/>
  <c r="J67" i="47" s="1"/>
  <c r="I65" i="47"/>
  <c r="I66" i="47" s="1"/>
  <c r="H65" i="47"/>
  <c r="H66" i="47" s="1"/>
  <c r="H67" i="47" s="1"/>
  <c r="G65" i="47"/>
  <c r="G66" i="47" s="1"/>
  <c r="G67" i="47" s="1"/>
  <c r="F65" i="47"/>
  <c r="F66" i="47" s="1"/>
  <c r="F67" i="47" s="1"/>
  <c r="E65" i="47"/>
  <c r="E66" i="47" s="1"/>
  <c r="D65" i="47"/>
  <c r="D66" i="47" s="1"/>
  <c r="D67" i="47" s="1"/>
  <c r="C65" i="47"/>
  <c r="P64" i="47"/>
  <c r="O64" i="47"/>
  <c r="N64" i="47"/>
  <c r="M64" i="47"/>
  <c r="L64" i="47"/>
  <c r="K64" i="47"/>
  <c r="J64" i="47"/>
  <c r="I64" i="47"/>
  <c r="H64" i="47"/>
  <c r="G64" i="47"/>
  <c r="F64" i="47"/>
  <c r="E64" i="47"/>
  <c r="D64" i="47"/>
  <c r="C64" i="47"/>
  <c r="B54" i="47"/>
  <c r="B55" i="47" s="1"/>
  <c r="B56" i="47" s="1"/>
  <c r="B57" i="47" s="1"/>
  <c r="B58" i="47" s="1"/>
  <c r="B59" i="47" s="1"/>
  <c r="B53" i="47"/>
  <c r="B43" i="47"/>
  <c r="B44" i="47" s="1"/>
  <c r="B45" i="47" s="1"/>
  <c r="B42" i="47"/>
  <c r="B5" i="47"/>
  <c r="B6" i="47" s="1"/>
  <c r="B7" i="47" s="1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I75" i="46"/>
  <c r="G75" i="46"/>
  <c r="E74" i="46"/>
  <c r="C76" i="46"/>
  <c r="C74" i="46"/>
  <c r="C67" i="46"/>
  <c r="C68" i="46"/>
  <c r="AE85" i="52" l="1"/>
  <c r="AE84" i="52" s="1"/>
  <c r="AG81" i="52" s="1"/>
  <c r="AG82" i="52" s="1"/>
  <c r="AG76" i="52"/>
  <c r="AG75" i="52"/>
  <c r="C73" i="51"/>
  <c r="I67" i="51"/>
  <c r="C74" i="51"/>
  <c r="K68" i="47"/>
  <c r="AB69" i="47"/>
  <c r="O68" i="47"/>
  <c r="J68" i="47"/>
  <c r="E75" i="48"/>
  <c r="C75" i="48"/>
  <c r="M68" i="51"/>
  <c r="H67" i="51"/>
  <c r="Q62" i="51"/>
  <c r="F67" i="51"/>
  <c r="J67" i="51"/>
  <c r="C67" i="51"/>
  <c r="C66" i="51"/>
  <c r="G67" i="51"/>
  <c r="G66" i="51"/>
  <c r="K67" i="51"/>
  <c r="K66" i="51"/>
  <c r="M63" i="51"/>
  <c r="Q57" i="51"/>
  <c r="Q73" i="51" s="1"/>
  <c r="Q63" i="51"/>
  <c r="M64" i="51"/>
  <c r="D67" i="51"/>
  <c r="E67" i="51"/>
  <c r="R68" i="49"/>
  <c r="K74" i="49"/>
  <c r="I75" i="48"/>
  <c r="M67" i="50"/>
  <c r="Q67" i="50"/>
  <c r="L67" i="50"/>
  <c r="V57" i="50"/>
  <c r="V73" i="50" s="1"/>
  <c r="V62" i="50"/>
  <c r="R63" i="50"/>
  <c r="C67" i="50"/>
  <c r="G67" i="50"/>
  <c r="R68" i="50"/>
  <c r="V63" i="50"/>
  <c r="R64" i="50"/>
  <c r="D67" i="50"/>
  <c r="E67" i="50"/>
  <c r="I73" i="49"/>
  <c r="J67" i="49"/>
  <c r="N67" i="49"/>
  <c r="R64" i="49"/>
  <c r="G74" i="49"/>
  <c r="C73" i="49"/>
  <c r="K73" i="49"/>
  <c r="I74" i="49"/>
  <c r="V74" i="49"/>
  <c r="R65" i="49"/>
  <c r="R66" i="49" s="1"/>
  <c r="V58" i="49"/>
  <c r="K67" i="49"/>
  <c r="O67" i="49"/>
  <c r="E66" i="49"/>
  <c r="G72" i="49" s="1"/>
  <c r="G78" i="49" s="1"/>
  <c r="E67" i="49"/>
  <c r="I66" i="49"/>
  <c r="E72" i="49" s="1"/>
  <c r="I67" i="49"/>
  <c r="M66" i="49"/>
  <c r="M67" i="49"/>
  <c r="Q66" i="49"/>
  <c r="K72" i="49" s="1"/>
  <c r="Q67" i="49"/>
  <c r="G76" i="49"/>
  <c r="I72" i="49"/>
  <c r="I76" i="49" s="1"/>
  <c r="C65" i="49"/>
  <c r="C66" i="49" s="1"/>
  <c r="C72" i="49" s="1"/>
  <c r="F67" i="49"/>
  <c r="C74" i="49"/>
  <c r="E73" i="49"/>
  <c r="V62" i="49"/>
  <c r="R63" i="49"/>
  <c r="G67" i="49"/>
  <c r="V57" i="49"/>
  <c r="V73" i="49" s="1"/>
  <c r="V63" i="49"/>
  <c r="G75" i="48"/>
  <c r="E74" i="48"/>
  <c r="G74" i="48"/>
  <c r="I73" i="48"/>
  <c r="AB58" i="48"/>
  <c r="AB74" i="48" s="1"/>
  <c r="X69" i="48"/>
  <c r="C73" i="48"/>
  <c r="E73" i="48"/>
  <c r="E77" i="48" s="1"/>
  <c r="G73" i="48"/>
  <c r="X65" i="48"/>
  <c r="D68" i="48"/>
  <c r="C74" i="48"/>
  <c r="X64" i="48"/>
  <c r="E68" i="48"/>
  <c r="AB64" i="48"/>
  <c r="F68" i="48"/>
  <c r="AB63" i="48"/>
  <c r="G75" i="47"/>
  <c r="E75" i="47"/>
  <c r="I74" i="47"/>
  <c r="C74" i="47"/>
  <c r="G74" i="47"/>
  <c r="N68" i="47"/>
  <c r="AB65" i="47"/>
  <c r="AF75" i="47" s="1"/>
  <c r="I75" i="47"/>
  <c r="E67" i="47"/>
  <c r="E68" i="47"/>
  <c r="I68" i="47"/>
  <c r="I67" i="47"/>
  <c r="E73" i="47" s="1"/>
  <c r="M67" i="47"/>
  <c r="M68" i="47"/>
  <c r="I73" i="47"/>
  <c r="D68" i="47"/>
  <c r="H68" i="47"/>
  <c r="L68" i="47"/>
  <c r="P68" i="47"/>
  <c r="E74" i="47"/>
  <c r="AF64" i="47"/>
  <c r="C66" i="47"/>
  <c r="C67" i="47" s="1"/>
  <c r="F68" i="47"/>
  <c r="C75" i="47"/>
  <c r="AF63" i="47"/>
  <c r="C68" i="47"/>
  <c r="G68" i="47"/>
  <c r="AB64" i="47"/>
  <c r="AF58" i="47"/>
  <c r="AF74" i="47" s="1"/>
  <c r="CB100" i="46"/>
  <c r="CC100" i="46" s="1"/>
  <c r="CB99" i="46"/>
  <c r="CC99" i="46" s="1"/>
  <c r="CB98" i="46"/>
  <c r="CC98" i="46" s="1"/>
  <c r="CB97" i="46"/>
  <c r="CC97" i="46" s="1"/>
  <c r="BZ75" i="46"/>
  <c r="BZ74" i="46"/>
  <c r="I74" i="46"/>
  <c r="G74" i="46"/>
  <c r="BH71" i="46"/>
  <c r="BG71" i="46"/>
  <c r="BF71" i="46"/>
  <c r="BE71" i="46"/>
  <c r="BD71" i="46"/>
  <c r="BC71" i="46"/>
  <c r="BB71" i="46"/>
  <c r="BA71" i="46"/>
  <c r="AZ71" i="46"/>
  <c r="AY71" i="46"/>
  <c r="AX71" i="46"/>
  <c r="AW71" i="46"/>
  <c r="AV71" i="46"/>
  <c r="AU71" i="46"/>
  <c r="AT71" i="46"/>
  <c r="AS71" i="46"/>
  <c r="AR71" i="46"/>
  <c r="AQ71" i="46"/>
  <c r="AP71" i="46"/>
  <c r="AO71" i="46"/>
  <c r="AN71" i="46"/>
  <c r="AM71" i="46"/>
  <c r="AL71" i="46"/>
  <c r="AK71" i="46"/>
  <c r="AJ71" i="46"/>
  <c r="AI71" i="46"/>
  <c r="AH71" i="46"/>
  <c r="AG71" i="46"/>
  <c r="AF71" i="46"/>
  <c r="AE71" i="46"/>
  <c r="AD71" i="46"/>
  <c r="AC71" i="46"/>
  <c r="AB71" i="46"/>
  <c r="AA71" i="46"/>
  <c r="Z71" i="46"/>
  <c r="Y71" i="46"/>
  <c r="X71" i="46"/>
  <c r="W71" i="46"/>
  <c r="V71" i="46"/>
  <c r="U71" i="46"/>
  <c r="T71" i="46"/>
  <c r="S71" i="46"/>
  <c r="R71" i="46"/>
  <c r="Q71" i="46"/>
  <c r="P71" i="46"/>
  <c r="O71" i="46"/>
  <c r="N71" i="46"/>
  <c r="M71" i="46"/>
  <c r="L71" i="46"/>
  <c r="K71" i="46"/>
  <c r="J71" i="46"/>
  <c r="I71" i="46"/>
  <c r="H71" i="46"/>
  <c r="G71" i="46"/>
  <c r="F71" i="46"/>
  <c r="E71" i="46"/>
  <c r="I77" i="46" s="1"/>
  <c r="D71" i="46"/>
  <c r="C71" i="46"/>
  <c r="BH67" i="46"/>
  <c r="BH68" i="46" s="1"/>
  <c r="BH69" i="46" s="1"/>
  <c r="BG67" i="46"/>
  <c r="BG68" i="46" s="1"/>
  <c r="BG69" i="46" s="1"/>
  <c r="BF67" i="46"/>
  <c r="BF68" i="46" s="1"/>
  <c r="BF69" i="46" s="1"/>
  <c r="BE67" i="46"/>
  <c r="BE68" i="46" s="1"/>
  <c r="BE69" i="46" s="1"/>
  <c r="BD67" i="46"/>
  <c r="BD68" i="46" s="1"/>
  <c r="BD69" i="46" s="1"/>
  <c r="BC67" i="46"/>
  <c r="BC68" i="46" s="1"/>
  <c r="BB67" i="46"/>
  <c r="BB68" i="46" s="1"/>
  <c r="BB69" i="46" s="1"/>
  <c r="BA67" i="46"/>
  <c r="BA68" i="46" s="1"/>
  <c r="BA69" i="46" s="1"/>
  <c r="AZ67" i="46"/>
  <c r="AZ68" i="46" s="1"/>
  <c r="AZ69" i="46" s="1"/>
  <c r="AY67" i="46"/>
  <c r="AY68" i="46" s="1"/>
  <c r="AY69" i="46" s="1"/>
  <c r="AX67" i="46"/>
  <c r="AX68" i="46" s="1"/>
  <c r="AX69" i="46" s="1"/>
  <c r="AW67" i="46"/>
  <c r="AW68" i="46" s="1"/>
  <c r="AW69" i="46" s="1"/>
  <c r="AV67" i="46"/>
  <c r="AV68" i="46" s="1"/>
  <c r="AV69" i="46" s="1"/>
  <c r="AU67" i="46"/>
  <c r="AU68" i="46" s="1"/>
  <c r="AT67" i="46"/>
  <c r="AT68" i="46" s="1"/>
  <c r="AT69" i="46" s="1"/>
  <c r="AS67" i="46"/>
  <c r="AS68" i="46" s="1"/>
  <c r="AS69" i="46" s="1"/>
  <c r="AR67" i="46"/>
  <c r="AR68" i="46" s="1"/>
  <c r="AR69" i="46" s="1"/>
  <c r="AQ67" i="46"/>
  <c r="AQ68" i="46" s="1"/>
  <c r="AQ69" i="46" s="1"/>
  <c r="AP67" i="46"/>
  <c r="AP68" i="46" s="1"/>
  <c r="AP69" i="46" s="1"/>
  <c r="AO67" i="46"/>
  <c r="AO68" i="46" s="1"/>
  <c r="AO69" i="46" s="1"/>
  <c r="AN67" i="46"/>
  <c r="AN68" i="46" s="1"/>
  <c r="AN69" i="46" s="1"/>
  <c r="AM67" i="46"/>
  <c r="AM68" i="46" s="1"/>
  <c r="AM69" i="46" s="1"/>
  <c r="AL67" i="46"/>
  <c r="AL68" i="46" s="1"/>
  <c r="AL69" i="46" s="1"/>
  <c r="AK67" i="46"/>
  <c r="AK68" i="46" s="1"/>
  <c r="AK69" i="46" s="1"/>
  <c r="AJ67" i="46"/>
  <c r="AJ68" i="46" s="1"/>
  <c r="AJ69" i="46" s="1"/>
  <c r="AI67" i="46"/>
  <c r="AI68" i="46" s="1"/>
  <c r="AH67" i="46"/>
  <c r="AH68" i="46" s="1"/>
  <c r="AH69" i="46" s="1"/>
  <c r="AG67" i="46"/>
  <c r="AG68" i="46" s="1"/>
  <c r="AG69" i="46" s="1"/>
  <c r="AF67" i="46"/>
  <c r="AF68" i="46" s="1"/>
  <c r="AF69" i="46" s="1"/>
  <c r="AE67" i="46"/>
  <c r="AE68" i="46" s="1"/>
  <c r="AE69" i="46" s="1"/>
  <c r="AD67" i="46"/>
  <c r="AD68" i="46" s="1"/>
  <c r="AD69" i="46" s="1"/>
  <c r="AC67" i="46"/>
  <c r="AC68" i="46" s="1"/>
  <c r="AC69" i="46" s="1"/>
  <c r="AB67" i="46"/>
  <c r="AB68" i="46" s="1"/>
  <c r="AB69" i="46" s="1"/>
  <c r="AA67" i="46"/>
  <c r="AA68" i="46" s="1"/>
  <c r="AA69" i="46" s="1"/>
  <c r="Z67" i="46"/>
  <c r="Z68" i="46" s="1"/>
  <c r="Z69" i="46" s="1"/>
  <c r="Y67" i="46"/>
  <c r="Y68" i="46" s="1"/>
  <c r="Y69" i="46" s="1"/>
  <c r="X67" i="46"/>
  <c r="X68" i="46" s="1"/>
  <c r="X69" i="46" s="1"/>
  <c r="W67" i="46"/>
  <c r="W68" i="46" s="1"/>
  <c r="W69" i="46" s="1"/>
  <c r="V67" i="46"/>
  <c r="V68" i="46" s="1"/>
  <c r="V69" i="46" s="1"/>
  <c r="U67" i="46"/>
  <c r="U68" i="46" s="1"/>
  <c r="U69" i="46" s="1"/>
  <c r="T67" i="46"/>
  <c r="T68" i="46" s="1"/>
  <c r="T69" i="46" s="1"/>
  <c r="S67" i="46"/>
  <c r="S68" i="46" s="1"/>
  <c r="R67" i="46"/>
  <c r="R68" i="46" s="1"/>
  <c r="R69" i="46" s="1"/>
  <c r="Q67" i="46"/>
  <c r="Q68" i="46" s="1"/>
  <c r="Q69" i="46" s="1"/>
  <c r="P67" i="46"/>
  <c r="P68" i="46" s="1"/>
  <c r="P69" i="46" s="1"/>
  <c r="O67" i="46"/>
  <c r="O68" i="46" s="1"/>
  <c r="O69" i="46" s="1"/>
  <c r="N67" i="46"/>
  <c r="N68" i="46" s="1"/>
  <c r="N69" i="46" s="1"/>
  <c r="M67" i="46"/>
  <c r="M68" i="46" s="1"/>
  <c r="M69" i="46" s="1"/>
  <c r="L67" i="46"/>
  <c r="L68" i="46" s="1"/>
  <c r="L69" i="46" s="1"/>
  <c r="K67" i="46"/>
  <c r="K68" i="46" s="1"/>
  <c r="J67" i="46"/>
  <c r="J68" i="46" s="1"/>
  <c r="J69" i="46" s="1"/>
  <c r="I67" i="46"/>
  <c r="I68" i="46" s="1"/>
  <c r="I69" i="46" s="1"/>
  <c r="H67" i="46"/>
  <c r="H68" i="46" s="1"/>
  <c r="H69" i="46" s="1"/>
  <c r="G67" i="46"/>
  <c r="G68" i="46" s="1"/>
  <c r="F67" i="46"/>
  <c r="F68" i="46" s="1"/>
  <c r="F69" i="46" s="1"/>
  <c r="E67" i="46"/>
  <c r="E68" i="46" s="1"/>
  <c r="E69" i="46" s="1"/>
  <c r="D67" i="46"/>
  <c r="D68" i="46" s="1"/>
  <c r="D69" i="46" s="1"/>
  <c r="BH66" i="46"/>
  <c r="BG66" i="46"/>
  <c r="BF66" i="46"/>
  <c r="BE66" i="46"/>
  <c r="BD66" i="46"/>
  <c r="BC66" i="46"/>
  <c r="BB66" i="46"/>
  <c r="BA66" i="46"/>
  <c r="AZ66" i="46"/>
  <c r="AY66" i="46"/>
  <c r="AX66" i="46"/>
  <c r="AW66" i="46"/>
  <c r="AV66" i="46"/>
  <c r="AU66" i="46"/>
  <c r="AT66" i="46"/>
  <c r="AS66" i="46"/>
  <c r="AR66" i="46"/>
  <c r="AQ66" i="46"/>
  <c r="AP66" i="46"/>
  <c r="AO66" i="46"/>
  <c r="AN66" i="46"/>
  <c r="AM66" i="46"/>
  <c r="AL66" i="46"/>
  <c r="AK66" i="46"/>
  <c r="AJ66" i="46"/>
  <c r="AI66" i="46"/>
  <c r="AH66" i="46"/>
  <c r="AG66" i="46"/>
  <c r="AF66" i="46"/>
  <c r="AE66" i="46"/>
  <c r="AD66" i="46"/>
  <c r="AC66" i="46"/>
  <c r="AB66" i="46"/>
  <c r="AA66" i="46"/>
  <c r="Z66" i="46"/>
  <c r="Y66" i="46"/>
  <c r="X66" i="46"/>
  <c r="W66" i="46"/>
  <c r="V66" i="46"/>
  <c r="U66" i="46"/>
  <c r="T66" i="46"/>
  <c r="S66" i="46"/>
  <c r="R66" i="46"/>
  <c r="R70" i="46" s="1"/>
  <c r="Q66" i="46"/>
  <c r="P66" i="46"/>
  <c r="O66" i="46"/>
  <c r="N66" i="46"/>
  <c r="M66" i="46"/>
  <c r="L66" i="46"/>
  <c r="K66" i="46"/>
  <c r="J66" i="46"/>
  <c r="I66" i="46"/>
  <c r="H66" i="46"/>
  <c r="G66" i="46"/>
  <c r="F66" i="46"/>
  <c r="E66" i="46"/>
  <c r="D66" i="46"/>
  <c r="C66" i="46"/>
  <c r="B55" i="46"/>
  <c r="B56" i="46" s="1"/>
  <c r="B57" i="46" s="1"/>
  <c r="B58" i="46" s="1"/>
  <c r="B59" i="46" s="1"/>
  <c r="B60" i="46" s="1"/>
  <c r="B61" i="46" s="1"/>
  <c r="B44" i="46"/>
  <c r="B45" i="46" s="1"/>
  <c r="B46" i="46" s="1"/>
  <c r="B47" i="46" s="1"/>
  <c r="B7" i="46"/>
  <c r="B8" i="46" s="1"/>
  <c r="B9" i="46" s="1"/>
  <c r="B10" i="46" s="1"/>
  <c r="B11" i="46" s="1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5" i="46" s="1"/>
  <c r="B26" i="46" s="1"/>
  <c r="B27" i="46" s="1"/>
  <c r="B28" i="46" s="1"/>
  <c r="B29" i="46" s="1"/>
  <c r="BH3" i="46"/>
  <c r="BG3" i="46"/>
  <c r="BF3" i="46"/>
  <c r="BE3" i="46"/>
  <c r="BD3" i="46"/>
  <c r="BC3" i="46"/>
  <c r="BB3" i="46"/>
  <c r="BA3" i="46"/>
  <c r="AZ3" i="46"/>
  <c r="AY3" i="46"/>
  <c r="AX3" i="46"/>
  <c r="AW3" i="46"/>
  <c r="AV3" i="46"/>
  <c r="AU3" i="46"/>
  <c r="AT3" i="46"/>
  <c r="AS3" i="46"/>
  <c r="AR3" i="46"/>
  <c r="AQ3" i="46"/>
  <c r="AP3" i="46"/>
  <c r="AO3" i="46"/>
  <c r="AN3" i="46"/>
  <c r="AM3" i="46"/>
  <c r="AL3" i="46"/>
  <c r="AK3" i="46"/>
  <c r="AJ3" i="46"/>
  <c r="AI3" i="46"/>
  <c r="AH3" i="46"/>
  <c r="AG3" i="46"/>
  <c r="AF3" i="46"/>
  <c r="AE3" i="46"/>
  <c r="AD3" i="46"/>
  <c r="AC3" i="46"/>
  <c r="AB3" i="46"/>
  <c r="AA3" i="46"/>
  <c r="Z3" i="46"/>
  <c r="Y3" i="46"/>
  <c r="X3" i="46"/>
  <c r="W3" i="46"/>
  <c r="V3" i="46"/>
  <c r="U3" i="46"/>
  <c r="T3" i="46"/>
  <c r="S3" i="46"/>
  <c r="R3" i="46"/>
  <c r="Q3" i="46"/>
  <c r="P3" i="46"/>
  <c r="O3" i="46"/>
  <c r="N3" i="46"/>
  <c r="M3" i="46"/>
  <c r="L3" i="46"/>
  <c r="K3" i="46"/>
  <c r="J3" i="46"/>
  <c r="I3" i="46"/>
  <c r="H3" i="46"/>
  <c r="G3" i="46"/>
  <c r="F3" i="46"/>
  <c r="E3" i="46"/>
  <c r="D3" i="46"/>
  <c r="C3" i="46"/>
  <c r="AF81" i="52" l="1"/>
  <c r="AF82" i="52" s="1"/>
  <c r="C72" i="51"/>
  <c r="C78" i="51" s="1"/>
  <c r="C76" i="51"/>
  <c r="AB66" i="47"/>
  <c r="AB67" i="47" s="1"/>
  <c r="I78" i="48"/>
  <c r="I79" i="48"/>
  <c r="C77" i="51"/>
  <c r="Q65" i="51"/>
  <c r="Q64" i="51"/>
  <c r="Q75" i="51"/>
  <c r="Q58" i="51"/>
  <c r="M65" i="51"/>
  <c r="M66" i="51" s="1"/>
  <c r="Q74" i="51"/>
  <c r="C76" i="49"/>
  <c r="I77" i="48"/>
  <c r="G77" i="46"/>
  <c r="E77" i="46"/>
  <c r="K77" i="46"/>
  <c r="V58" i="50"/>
  <c r="R65" i="50"/>
  <c r="R66" i="50" s="1"/>
  <c r="V74" i="50"/>
  <c r="V75" i="50"/>
  <c r="C67" i="49"/>
  <c r="C77" i="49"/>
  <c r="G77" i="49"/>
  <c r="G80" i="49" s="1"/>
  <c r="I78" i="49"/>
  <c r="K76" i="49"/>
  <c r="K77" i="49"/>
  <c r="K78" i="49"/>
  <c r="E78" i="49"/>
  <c r="E77" i="49"/>
  <c r="E76" i="49"/>
  <c r="V75" i="49"/>
  <c r="R67" i="49"/>
  <c r="C78" i="49"/>
  <c r="I77" i="49"/>
  <c r="V64" i="49"/>
  <c r="V65" i="49"/>
  <c r="G77" i="48"/>
  <c r="AB65" i="48"/>
  <c r="AB76" i="48"/>
  <c r="AB75" i="48"/>
  <c r="X66" i="48"/>
  <c r="X67" i="48" s="1"/>
  <c r="AB59" i="48"/>
  <c r="G79" i="48"/>
  <c r="K79" i="48"/>
  <c r="K77" i="48"/>
  <c r="K78" i="48"/>
  <c r="AB66" i="48"/>
  <c r="G78" i="48"/>
  <c r="E79" i="48"/>
  <c r="C79" i="48"/>
  <c r="C77" i="48"/>
  <c r="C78" i="48"/>
  <c r="E78" i="48"/>
  <c r="K77" i="47"/>
  <c r="G73" i="47"/>
  <c r="G79" i="47" s="1"/>
  <c r="AF59" i="47"/>
  <c r="K79" i="47"/>
  <c r="I79" i="47"/>
  <c r="K78" i="47"/>
  <c r="I78" i="47"/>
  <c r="AF66" i="47"/>
  <c r="AF65" i="47"/>
  <c r="C73" i="47"/>
  <c r="I77" i="47"/>
  <c r="AF76" i="47"/>
  <c r="AB68" i="47"/>
  <c r="E79" i="47"/>
  <c r="E78" i="47"/>
  <c r="E77" i="47"/>
  <c r="AW70" i="46"/>
  <c r="C77" i="46"/>
  <c r="BE70" i="46"/>
  <c r="BA70" i="46"/>
  <c r="AX70" i="46"/>
  <c r="AT70" i="46"/>
  <c r="AS70" i="46"/>
  <c r="AP70" i="46"/>
  <c r="AO70" i="46"/>
  <c r="AL70" i="46"/>
  <c r="AK70" i="46"/>
  <c r="G70" i="46"/>
  <c r="AM70" i="46"/>
  <c r="AH70" i="46"/>
  <c r="AG70" i="46"/>
  <c r="AE70" i="46"/>
  <c r="AD70" i="46"/>
  <c r="AC70" i="46"/>
  <c r="Z70" i="46"/>
  <c r="Y70" i="46"/>
  <c r="W70" i="46"/>
  <c r="V70" i="46"/>
  <c r="U70" i="46"/>
  <c r="Q70" i="46"/>
  <c r="N70" i="46"/>
  <c r="M70" i="46"/>
  <c r="S70" i="46"/>
  <c r="S69" i="46"/>
  <c r="AI70" i="46"/>
  <c r="AI69" i="46"/>
  <c r="C75" i="46" s="1"/>
  <c r="AU70" i="46"/>
  <c r="AU69" i="46"/>
  <c r="O70" i="46"/>
  <c r="AQ70" i="46"/>
  <c r="BC70" i="46"/>
  <c r="BC69" i="46"/>
  <c r="BB70" i="46"/>
  <c r="BF70" i="46"/>
  <c r="BG70" i="46"/>
  <c r="AN70" i="46"/>
  <c r="AV70" i="46"/>
  <c r="BD70" i="46"/>
  <c r="AA70" i="46"/>
  <c r="AY70" i="46"/>
  <c r="K70" i="46"/>
  <c r="K69" i="46"/>
  <c r="J70" i="46"/>
  <c r="I70" i="46"/>
  <c r="G69" i="46"/>
  <c r="C70" i="46"/>
  <c r="C69" i="46"/>
  <c r="E75" i="46" s="1"/>
  <c r="G76" i="46"/>
  <c r="E76" i="46"/>
  <c r="K76" i="46"/>
  <c r="BV67" i="46"/>
  <c r="H70" i="46"/>
  <c r="L70" i="46"/>
  <c r="P70" i="46"/>
  <c r="T70" i="46"/>
  <c r="X70" i="46"/>
  <c r="AB70" i="46"/>
  <c r="AF70" i="46"/>
  <c r="AJ70" i="46"/>
  <c r="AR70" i="46"/>
  <c r="AZ70" i="46"/>
  <c r="BH70" i="46"/>
  <c r="F70" i="46"/>
  <c r="E70" i="46"/>
  <c r="BZ60" i="46"/>
  <c r="BZ76" i="46" s="1"/>
  <c r="I76" i="46"/>
  <c r="BV71" i="46"/>
  <c r="BZ65" i="46"/>
  <c r="BV66" i="46"/>
  <c r="BZ66" i="46"/>
  <c r="D70" i="46"/>
  <c r="AI76" i="17"/>
  <c r="P77" i="45"/>
  <c r="P76" i="45"/>
  <c r="K73" i="45"/>
  <c r="J73" i="45"/>
  <c r="I73" i="45"/>
  <c r="H73" i="45"/>
  <c r="G73" i="45"/>
  <c r="F73" i="45"/>
  <c r="E73" i="45"/>
  <c r="D73" i="45"/>
  <c r="C73" i="45"/>
  <c r="C70" i="45"/>
  <c r="C71" i="45" s="1"/>
  <c r="K69" i="45"/>
  <c r="K70" i="45" s="1"/>
  <c r="K71" i="45" s="1"/>
  <c r="J69" i="45"/>
  <c r="J70" i="45" s="1"/>
  <c r="I69" i="45"/>
  <c r="I70" i="45" s="1"/>
  <c r="I71" i="45" s="1"/>
  <c r="H69" i="45"/>
  <c r="H70" i="45" s="1"/>
  <c r="H71" i="45" s="1"/>
  <c r="G69" i="45"/>
  <c r="G70" i="45" s="1"/>
  <c r="G71" i="45" s="1"/>
  <c r="F69" i="45"/>
  <c r="F70" i="45" s="1"/>
  <c r="E69" i="45"/>
  <c r="E70" i="45" s="1"/>
  <c r="E71" i="45" s="1"/>
  <c r="D69" i="45"/>
  <c r="D70" i="45" s="1"/>
  <c r="C69" i="45"/>
  <c r="K68" i="45"/>
  <c r="J68" i="45"/>
  <c r="I68" i="45"/>
  <c r="I72" i="45" s="1"/>
  <c r="H68" i="45"/>
  <c r="G68" i="45"/>
  <c r="F68" i="45"/>
  <c r="E68" i="45"/>
  <c r="D68" i="45"/>
  <c r="C68" i="45"/>
  <c r="B60" i="45"/>
  <c r="B61" i="45" s="1"/>
  <c r="B62" i="45" s="1"/>
  <c r="B63" i="45" s="1"/>
  <c r="B64" i="45" s="1"/>
  <c r="B65" i="45" s="1"/>
  <c r="B66" i="45" s="1"/>
  <c r="B67" i="45" s="1"/>
  <c r="B41" i="45"/>
  <c r="B42" i="45" s="1"/>
  <c r="B43" i="45" s="1"/>
  <c r="B44" i="45" s="1"/>
  <c r="B4" i="45"/>
  <c r="B5" i="45" s="1"/>
  <c r="B6" i="45" s="1"/>
  <c r="B7" i="45" s="1"/>
  <c r="B8" i="45" s="1"/>
  <c r="B9" i="45" s="1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AB68" i="48" l="1"/>
  <c r="C80" i="51"/>
  <c r="Q81" i="51"/>
  <c r="S81" i="51" s="1"/>
  <c r="S99" i="51"/>
  <c r="S100" i="51" s="1"/>
  <c r="S102" i="51" s="1"/>
  <c r="Q80" i="51"/>
  <c r="S80" i="51" s="1"/>
  <c r="Q82" i="51"/>
  <c r="Q67" i="51"/>
  <c r="M67" i="51"/>
  <c r="I80" i="49"/>
  <c r="S77" i="49"/>
  <c r="K80" i="49"/>
  <c r="I81" i="47"/>
  <c r="R67" i="50"/>
  <c r="X80" i="50"/>
  <c r="X81" i="50"/>
  <c r="V80" i="49"/>
  <c r="X80" i="49" s="1"/>
  <c r="R77" i="49"/>
  <c r="R76" i="49"/>
  <c r="V82" i="49"/>
  <c r="R78" i="49"/>
  <c r="S78" i="49"/>
  <c r="V81" i="49"/>
  <c r="X81" i="49" s="1"/>
  <c r="S76" i="49"/>
  <c r="V67" i="49"/>
  <c r="V78" i="49"/>
  <c r="E80" i="49"/>
  <c r="C80" i="49"/>
  <c r="V79" i="49"/>
  <c r="Y78" i="48"/>
  <c r="X78" i="48"/>
  <c r="Y77" i="48"/>
  <c r="AB83" i="48"/>
  <c r="AB81" i="48"/>
  <c r="AD81" i="48" s="1"/>
  <c r="AB79" i="48"/>
  <c r="X77" i="48"/>
  <c r="AB82" i="48"/>
  <c r="AD82" i="48" s="1"/>
  <c r="X68" i="48"/>
  <c r="Y79" i="48"/>
  <c r="X79" i="48"/>
  <c r="G78" i="47"/>
  <c r="G77" i="47"/>
  <c r="AF68" i="47"/>
  <c r="K81" i="47"/>
  <c r="E81" i="47"/>
  <c r="C79" i="47"/>
  <c r="C77" i="47"/>
  <c r="C78" i="47"/>
  <c r="C79" i="46"/>
  <c r="BZ68" i="46"/>
  <c r="BZ67" i="46"/>
  <c r="K75" i="46"/>
  <c r="K81" i="46" s="1"/>
  <c r="G80" i="46"/>
  <c r="C80" i="46"/>
  <c r="C81" i="46"/>
  <c r="I81" i="46"/>
  <c r="I79" i="46"/>
  <c r="I80" i="46"/>
  <c r="E79" i="46"/>
  <c r="E80" i="46"/>
  <c r="E81" i="46"/>
  <c r="BV68" i="46"/>
  <c r="BV69" i="46" s="1"/>
  <c r="BZ77" i="46"/>
  <c r="BZ61" i="46"/>
  <c r="BZ78" i="46"/>
  <c r="C72" i="45"/>
  <c r="K72" i="45"/>
  <c r="P68" i="45"/>
  <c r="L69" i="45"/>
  <c r="P79" i="45" s="1"/>
  <c r="F71" i="45"/>
  <c r="I83" i="45" s="1"/>
  <c r="F72" i="45"/>
  <c r="J71" i="45"/>
  <c r="J72" i="45"/>
  <c r="D72" i="45"/>
  <c r="L68" i="45"/>
  <c r="E72" i="45"/>
  <c r="P65" i="45"/>
  <c r="P78" i="45" s="1"/>
  <c r="P67" i="45"/>
  <c r="G72" i="45"/>
  <c r="H72" i="45"/>
  <c r="S78" i="51" l="1"/>
  <c r="G81" i="47"/>
  <c r="Q88" i="51"/>
  <c r="Q87" i="51" s="1"/>
  <c r="S79" i="51"/>
  <c r="X78" i="50"/>
  <c r="X99" i="50"/>
  <c r="X100" i="50" s="1"/>
  <c r="X102" i="50" s="1"/>
  <c r="V88" i="50"/>
  <c r="V87" i="50" s="1"/>
  <c r="W84" i="50" s="1"/>
  <c r="W85" i="50" s="1"/>
  <c r="X79" i="50"/>
  <c r="X78" i="49"/>
  <c r="X99" i="49"/>
  <c r="X100" i="49" s="1"/>
  <c r="X102" i="49" s="1"/>
  <c r="X84" i="49"/>
  <c r="X85" i="49" s="1"/>
  <c r="V88" i="49"/>
  <c r="V87" i="49" s="1"/>
  <c r="W84" i="49" s="1"/>
  <c r="W85" i="49" s="1"/>
  <c r="X79" i="49"/>
  <c r="AD80" i="48"/>
  <c r="AD79" i="48"/>
  <c r="AD100" i="48"/>
  <c r="AD101" i="48" s="1"/>
  <c r="AD103" i="48" s="1"/>
  <c r="AC78" i="47"/>
  <c r="AB78" i="47"/>
  <c r="AF80" i="47"/>
  <c r="AF82" i="47"/>
  <c r="AH82" i="47" s="1"/>
  <c r="AF83" i="47"/>
  <c r="AF81" i="47"/>
  <c r="AH81" i="47" s="1"/>
  <c r="AC77" i="47"/>
  <c r="C81" i="47"/>
  <c r="AF79" i="47"/>
  <c r="AB77" i="47"/>
  <c r="AB79" i="47"/>
  <c r="AC79" i="47"/>
  <c r="K80" i="46"/>
  <c r="BV80" i="46" s="1"/>
  <c r="K79" i="46"/>
  <c r="G79" i="46"/>
  <c r="G81" i="46"/>
  <c r="BW81" i="46" s="1"/>
  <c r="BZ70" i="46"/>
  <c r="E83" i="46"/>
  <c r="BV70" i="46"/>
  <c r="I83" i="46"/>
  <c r="C83" i="46"/>
  <c r="E82" i="45"/>
  <c r="P66" i="45"/>
  <c r="L70" i="45"/>
  <c r="L71" i="45" s="1"/>
  <c r="P70" i="45"/>
  <c r="E81" i="45"/>
  <c r="E83" i="45"/>
  <c r="G83" i="45"/>
  <c r="G81" i="45"/>
  <c r="G82" i="45"/>
  <c r="I82" i="45"/>
  <c r="I81" i="45"/>
  <c r="P80" i="45"/>
  <c r="P69" i="45"/>
  <c r="G85" i="45" l="1"/>
  <c r="E85" i="45"/>
  <c r="I85" i="45"/>
  <c r="BZ81" i="46"/>
  <c r="R84" i="51"/>
  <c r="R85" i="51" s="1"/>
  <c r="S84" i="51"/>
  <c r="S85" i="51" s="1"/>
  <c r="X84" i="50"/>
  <c r="X85" i="50" s="1"/>
  <c r="AD85" i="48"/>
  <c r="AD86" i="48" s="1"/>
  <c r="AF89" i="47"/>
  <c r="AF88" i="47" s="1"/>
  <c r="AH85" i="47" s="1"/>
  <c r="AH86" i="47" s="1"/>
  <c r="AH80" i="47"/>
  <c r="AH79" i="47"/>
  <c r="AH100" i="47"/>
  <c r="AH101" i="47" s="1"/>
  <c r="AH103" i="47" s="1"/>
  <c r="K83" i="46"/>
  <c r="BW80" i="46"/>
  <c r="BW79" i="46"/>
  <c r="G83" i="46"/>
  <c r="BV79" i="46"/>
  <c r="BV81" i="46"/>
  <c r="BZ84" i="46"/>
  <c r="CB84" i="46" s="1"/>
  <c r="CB102" i="46"/>
  <c r="CB103" i="46" s="1"/>
  <c r="CB105" i="46" s="1"/>
  <c r="CB82" i="46"/>
  <c r="BZ83" i="46"/>
  <c r="CB83" i="46" s="1"/>
  <c r="M81" i="45"/>
  <c r="P72" i="45"/>
  <c r="L72" i="45"/>
  <c r="L82" i="45"/>
  <c r="M82" i="45"/>
  <c r="AG85" i="47" l="1"/>
  <c r="AG86" i="47" s="1"/>
  <c r="BZ90" i="46"/>
  <c r="CB87" i="46" s="1"/>
  <c r="CB88" i="46" s="1"/>
  <c r="CB81" i="46"/>
  <c r="R84" i="45"/>
  <c r="R85" i="45"/>
  <c r="L81" i="45"/>
  <c r="C85" i="45"/>
  <c r="P87" i="45"/>
  <c r="P93" i="45" s="1"/>
  <c r="P92" i="45" s="1"/>
  <c r="Q89" i="45" s="1"/>
  <c r="Q90" i="45" s="1"/>
  <c r="L83" i="45"/>
  <c r="R86" i="45"/>
  <c r="M83" i="45"/>
  <c r="CA87" i="46" l="1"/>
  <c r="CA88" i="46" s="1"/>
  <c r="R89" i="45"/>
  <c r="R90" i="45" s="1"/>
  <c r="E5" i="33" l="1"/>
  <c r="E14" i="33"/>
  <c r="E13" i="33"/>
  <c r="E12" i="33"/>
  <c r="E11" i="33"/>
  <c r="E10" i="33"/>
  <c r="E9" i="33"/>
  <c r="E8" i="33"/>
  <c r="E7" i="33"/>
  <c r="E6" i="33"/>
  <c r="G68" i="19" l="1"/>
  <c r="E82" i="29"/>
  <c r="I79" i="29"/>
  <c r="G79" i="29"/>
  <c r="E79" i="29"/>
  <c r="C79" i="29"/>
  <c r="E78" i="29"/>
  <c r="E81" i="29" s="1"/>
  <c r="E85" i="29" s="1"/>
  <c r="O77" i="29"/>
  <c r="E77" i="29"/>
  <c r="O76" i="29"/>
  <c r="I76" i="29"/>
  <c r="G76" i="29"/>
  <c r="E76" i="29"/>
  <c r="C76" i="29"/>
  <c r="J73" i="29"/>
  <c r="I73" i="29"/>
  <c r="H73" i="29"/>
  <c r="G73" i="29"/>
  <c r="F73" i="29"/>
  <c r="E73" i="29"/>
  <c r="D73" i="29"/>
  <c r="C73" i="29"/>
  <c r="J69" i="29"/>
  <c r="J70" i="29" s="1"/>
  <c r="J71" i="29" s="1"/>
  <c r="I69" i="29"/>
  <c r="I70" i="29" s="1"/>
  <c r="H69" i="29"/>
  <c r="H70" i="29" s="1"/>
  <c r="H71" i="29" s="1"/>
  <c r="G69" i="29"/>
  <c r="G70" i="29" s="1"/>
  <c r="G71" i="29" s="1"/>
  <c r="F69" i="29"/>
  <c r="F70" i="29" s="1"/>
  <c r="F71" i="29" s="1"/>
  <c r="I77" i="29" s="1"/>
  <c r="E69" i="29"/>
  <c r="E70" i="29" s="1"/>
  <c r="E71" i="29" s="1"/>
  <c r="D69" i="29"/>
  <c r="D70" i="29" s="1"/>
  <c r="D71" i="29" s="1"/>
  <c r="C69" i="29"/>
  <c r="J68" i="29"/>
  <c r="J72" i="29" s="1"/>
  <c r="I68" i="29"/>
  <c r="H68" i="29"/>
  <c r="G68" i="29"/>
  <c r="C78" i="29" s="1"/>
  <c r="F68" i="29"/>
  <c r="F72" i="29" s="1"/>
  <c r="E68" i="29"/>
  <c r="D68" i="29"/>
  <c r="C68" i="29"/>
  <c r="B60" i="29"/>
  <c r="B61" i="29" s="1"/>
  <c r="B62" i="29" s="1"/>
  <c r="B63" i="29" s="1"/>
  <c r="B64" i="29" s="1"/>
  <c r="B65" i="29" s="1"/>
  <c r="B66" i="29" s="1"/>
  <c r="B67" i="29" s="1"/>
  <c r="B43" i="29"/>
  <c r="B44" i="29" s="1"/>
  <c r="B42" i="29"/>
  <c r="B41" i="29"/>
  <c r="B5" i="29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4" i="29"/>
  <c r="G78" i="29" l="1"/>
  <c r="H72" i="29"/>
  <c r="E72" i="29"/>
  <c r="O68" i="29"/>
  <c r="K69" i="29"/>
  <c r="K70" i="29" s="1"/>
  <c r="K71" i="29" s="1"/>
  <c r="C70" i="29"/>
  <c r="C71" i="29" s="1"/>
  <c r="O65" i="29"/>
  <c r="O78" i="29" s="1"/>
  <c r="D72" i="29"/>
  <c r="C77" i="29"/>
  <c r="I72" i="29"/>
  <c r="I71" i="29"/>
  <c r="G77" i="29" s="1"/>
  <c r="G72" i="29"/>
  <c r="E83" i="29"/>
  <c r="I78" i="29"/>
  <c r="C72" i="29"/>
  <c r="O67" i="29"/>
  <c r="K68" i="29"/>
  <c r="K69" i="17"/>
  <c r="E69" i="17"/>
  <c r="C69" i="17"/>
  <c r="O79" i="29" l="1"/>
  <c r="O66" i="29"/>
  <c r="G82" i="29"/>
  <c r="G81" i="29"/>
  <c r="G85" i="29" s="1"/>
  <c r="G83" i="29"/>
  <c r="O70" i="29"/>
  <c r="O69" i="29"/>
  <c r="I81" i="29"/>
  <c r="I85" i="29" s="1"/>
  <c r="I83" i="29"/>
  <c r="I82" i="29"/>
  <c r="C83" i="29"/>
  <c r="O80" i="29"/>
  <c r="K72" i="29"/>
  <c r="C81" i="29"/>
  <c r="C82" i="29"/>
  <c r="L83" i="29" l="1"/>
  <c r="K83" i="29"/>
  <c r="L82" i="29"/>
  <c r="K82" i="29"/>
  <c r="O72" i="29"/>
  <c r="O86" i="29"/>
  <c r="Q86" i="29" s="1"/>
  <c r="O84" i="29"/>
  <c r="K81" i="29"/>
  <c r="O85" i="29"/>
  <c r="Q85" i="29" s="1"/>
  <c r="O83" i="29"/>
  <c r="O87" i="29"/>
  <c r="C85" i="29"/>
  <c r="L81" i="29"/>
  <c r="Q83" i="29" l="1"/>
  <c r="O93" i="29"/>
  <c r="O92" i="29" s="1"/>
  <c r="P89" i="29" s="1"/>
  <c r="P90" i="29" s="1"/>
  <c r="Q84" i="29"/>
  <c r="Q89" i="29" l="1"/>
  <c r="Q90" i="29" s="1"/>
  <c r="O73" i="28" l="1"/>
  <c r="N73" i="28"/>
  <c r="M73" i="28"/>
  <c r="L73" i="28"/>
  <c r="K73" i="28"/>
  <c r="J73" i="28"/>
  <c r="O69" i="28"/>
  <c r="O70" i="28" s="1"/>
  <c r="O71" i="28" s="1"/>
  <c r="N69" i="28"/>
  <c r="N70" i="28" s="1"/>
  <c r="N71" i="28" s="1"/>
  <c r="M69" i="28"/>
  <c r="M70" i="28" s="1"/>
  <c r="M71" i="28" s="1"/>
  <c r="L69" i="28"/>
  <c r="L70" i="28" s="1"/>
  <c r="L71" i="28" s="1"/>
  <c r="K69" i="28"/>
  <c r="K70" i="28" s="1"/>
  <c r="K71" i="28" s="1"/>
  <c r="J69" i="28"/>
  <c r="J70" i="28" s="1"/>
  <c r="J71" i="28" s="1"/>
  <c r="O68" i="28"/>
  <c r="N68" i="28"/>
  <c r="M68" i="28"/>
  <c r="L68" i="28"/>
  <c r="K68" i="28"/>
  <c r="J68" i="28"/>
  <c r="Q79" i="28"/>
  <c r="I79" i="28"/>
  <c r="G79" i="28"/>
  <c r="E79" i="28"/>
  <c r="C79" i="28"/>
  <c r="V77" i="28"/>
  <c r="V76" i="28"/>
  <c r="Q76" i="28"/>
  <c r="I76" i="28"/>
  <c r="G76" i="28"/>
  <c r="E76" i="28"/>
  <c r="C76" i="28"/>
  <c r="Q73" i="28"/>
  <c r="P73" i="28"/>
  <c r="I73" i="28"/>
  <c r="H73" i="28"/>
  <c r="G73" i="28"/>
  <c r="F73" i="28"/>
  <c r="E73" i="28"/>
  <c r="D73" i="28"/>
  <c r="C73" i="28"/>
  <c r="G70" i="28"/>
  <c r="G71" i="28" s="1"/>
  <c r="F70" i="28"/>
  <c r="F71" i="28" s="1"/>
  <c r="I77" i="28" s="1"/>
  <c r="Q69" i="28"/>
  <c r="Q70" i="28" s="1"/>
  <c r="P69" i="28"/>
  <c r="P70" i="28" s="1"/>
  <c r="I69" i="28"/>
  <c r="I70" i="28" s="1"/>
  <c r="H69" i="28"/>
  <c r="H70" i="28" s="1"/>
  <c r="G69" i="28"/>
  <c r="F69" i="28"/>
  <c r="E69" i="28"/>
  <c r="E70" i="28" s="1"/>
  <c r="E71" i="28" s="1"/>
  <c r="D69" i="28"/>
  <c r="D70" i="28" s="1"/>
  <c r="D71" i="28" s="1"/>
  <c r="Q77" i="28" s="1"/>
  <c r="C69" i="28"/>
  <c r="C70" i="28" s="1"/>
  <c r="Q68" i="28"/>
  <c r="P68" i="28"/>
  <c r="I68" i="28"/>
  <c r="H68" i="28"/>
  <c r="G68" i="28"/>
  <c r="F68" i="28"/>
  <c r="E68" i="28"/>
  <c r="D68" i="28"/>
  <c r="Q78" i="28" s="1"/>
  <c r="C68" i="28"/>
  <c r="B61" i="28"/>
  <c r="B62" i="28" s="1"/>
  <c r="B63" i="28" s="1"/>
  <c r="B64" i="28" s="1"/>
  <c r="B65" i="28" s="1"/>
  <c r="B66" i="28" s="1"/>
  <c r="B67" i="28" s="1"/>
  <c r="B60" i="28"/>
  <c r="B41" i="28"/>
  <c r="B42" i="28" s="1"/>
  <c r="B43" i="28" s="1"/>
  <c r="B44" i="28" s="1"/>
  <c r="B4" i="28"/>
  <c r="B5" i="28" s="1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E78" i="28" l="1"/>
  <c r="O72" i="28"/>
  <c r="G78" i="28"/>
  <c r="K72" i="28"/>
  <c r="L72" i="28"/>
  <c r="J72" i="28"/>
  <c r="H72" i="28"/>
  <c r="G72" i="28"/>
  <c r="F72" i="28"/>
  <c r="M72" i="28"/>
  <c r="N72" i="28"/>
  <c r="I71" i="28"/>
  <c r="G77" i="28" s="1"/>
  <c r="G83" i="28" s="1"/>
  <c r="I72" i="28"/>
  <c r="P71" i="28"/>
  <c r="C77" i="28" s="1"/>
  <c r="P72" i="28"/>
  <c r="Q83" i="28"/>
  <c r="Q81" i="28"/>
  <c r="Q85" i="28" s="1"/>
  <c r="Q82" i="28"/>
  <c r="C72" i="28"/>
  <c r="C71" i="28"/>
  <c r="Q71" i="28"/>
  <c r="Q72" i="28"/>
  <c r="V65" i="28"/>
  <c r="V78" i="28" s="1"/>
  <c r="C78" i="28"/>
  <c r="R68" i="28"/>
  <c r="R69" i="28"/>
  <c r="D72" i="28"/>
  <c r="E72" i="28"/>
  <c r="V68" i="28"/>
  <c r="H71" i="28"/>
  <c r="I78" i="28"/>
  <c r="V67" i="28"/>
  <c r="M71" i="25"/>
  <c r="I71" i="25"/>
  <c r="I68" i="25"/>
  <c r="M68" i="25"/>
  <c r="G68" i="25"/>
  <c r="E68" i="25"/>
  <c r="AE69" i="25"/>
  <c r="AE68" i="25"/>
  <c r="K68" i="25"/>
  <c r="C68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E71" i="25" s="1"/>
  <c r="G65" i="25"/>
  <c r="F65" i="25"/>
  <c r="E65" i="25"/>
  <c r="D65" i="25"/>
  <c r="C65" i="25"/>
  <c r="Z61" i="25"/>
  <c r="Z62" i="25" s="1"/>
  <c r="Z63" i="25" s="1"/>
  <c r="Y61" i="25"/>
  <c r="Y62" i="25" s="1"/>
  <c r="Y63" i="25" s="1"/>
  <c r="X61" i="25"/>
  <c r="X62" i="25" s="1"/>
  <c r="X63" i="25" s="1"/>
  <c r="W61" i="25"/>
  <c r="W62" i="25" s="1"/>
  <c r="V61" i="25"/>
  <c r="V62" i="25" s="1"/>
  <c r="U61" i="25"/>
  <c r="U62" i="25" s="1"/>
  <c r="U63" i="25" s="1"/>
  <c r="T61" i="25"/>
  <c r="T62" i="25" s="1"/>
  <c r="S61" i="25"/>
  <c r="S62" i="25" s="1"/>
  <c r="S63" i="25" s="1"/>
  <c r="R61" i="25"/>
  <c r="R62" i="25" s="1"/>
  <c r="R63" i="25" s="1"/>
  <c r="Q61" i="25"/>
  <c r="Q62" i="25" s="1"/>
  <c r="Q63" i="25" s="1"/>
  <c r="P61" i="25"/>
  <c r="P62" i="25" s="1"/>
  <c r="P63" i="25" s="1"/>
  <c r="O61" i="25"/>
  <c r="O62" i="25" s="1"/>
  <c r="N61" i="25"/>
  <c r="N62" i="25" s="1"/>
  <c r="N63" i="25" s="1"/>
  <c r="M61" i="25"/>
  <c r="M62" i="25" s="1"/>
  <c r="M63" i="25" s="1"/>
  <c r="L61" i="25"/>
  <c r="L62" i="25" s="1"/>
  <c r="K61" i="25"/>
  <c r="K62" i="25" s="1"/>
  <c r="J61" i="25"/>
  <c r="J62" i="25" s="1"/>
  <c r="J63" i="25" s="1"/>
  <c r="I61" i="25"/>
  <c r="I62" i="25" s="1"/>
  <c r="I63" i="25" s="1"/>
  <c r="H61" i="25"/>
  <c r="H62" i="25" s="1"/>
  <c r="H63" i="25" s="1"/>
  <c r="G61" i="25"/>
  <c r="G62" i="25" s="1"/>
  <c r="F61" i="25"/>
  <c r="F62" i="25" s="1"/>
  <c r="E61" i="25"/>
  <c r="E62" i="25" s="1"/>
  <c r="E63" i="25" s="1"/>
  <c r="D61" i="25"/>
  <c r="D62" i="25" s="1"/>
  <c r="C61" i="25"/>
  <c r="C62" i="25" s="1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M70" i="25" s="1"/>
  <c r="B52" i="25"/>
  <c r="B53" i="25" s="1"/>
  <c r="B54" i="25" s="1"/>
  <c r="B55" i="25" s="1"/>
  <c r="B56" i="25" s="1"/>
  <c r="B57" i="25" s="1"/>
  <c r="B58" i="25" s="1"/>
  <c r="B59" i="25" s="1"/>
  <c r="B41" i="25"/>
  <c r="B42" i="25" s="1"/>
  <c r="B43" i="25" s="1"/>
  <c r="B44" i="25" s="1"/>
  <c r="B4" i="25"/>
  <c r="B5" i="25" s="1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V79" i="28" l="1"/>
  <c r="R70" i="28"/>
  <c r="R71" i="28" s="1"/>
  <c r="C81" i="28" s="1"/>
  <c r="V66" i="28"/>
  <c r="V70" i="28"/>
  <c r="V69" i="28"/>
  <c r="V80" i="28"/>
  <c r="G82" i="28"/>
  <c r="I83" i="28"/>
  <c r="I81" i="28"/>
  <c r="I85" i="28" s="1"/>
  <c r="I82" i="28"/>
  <c r="G81" i="28"/>
  <c r="G85" i="28" s="1"/>
  <c r="E77" i="28"/>
  <c r="K69" i="25"/>
  <c r="I70" i="25"/>
  <c r="G70" i="25"/>
  <c r="G69" i="25"/>
  <c r="E69" i="25"/>
  <c r="E70" i="25"/>
  <c r="H64" i="25"/>
  <c r="G64" i="25"/>
  <c r="G71" i="25"/>
  <c r="C64" i="25"/>
  <c r="O64" i="25"/>
  <c r="K64" i="25"/>
  <c r="C70" i="25"/>
  <c r="C71" i="25"/>
  <c r="K70" i="25"/>
  <c r="K71" i="25"/>
  <c r="X64" i="25"/>
  <c r="W64" i="25"/>
  <c r="V63" i="25"/>
  <c r="V64" i="25"/>
  <c r="P64" i="25"/>
  <c r="N64" i="25"/>
  <c r="AE60" i="25"/>
  <c r="I64" i="25"/>
  <c r="Y64" i="25"/>
  <c r="Z64" i="25"/>
  <c r="D64" i="25"/>
  <c r="D63" i="25"/>
  <c r="L64" i="25"/>
  <c r="L63" i="25"/>
  <c r="T64" i="25"/>
  <c r="T63" i="25"/>
  <c r="E64" i="25"/>
  <c r="M64" i="25"/>
  <c r="U64" i="25"/>
  <c r="F64" i="25"/>
  <c r="F63" i="25"/>
  <c r="Q64" i="25"/>
  <c r="J64" i="25"/>
  <c r="AE59" i="25"/>
  <c r="AA60" i="25"/>
  <c r="G63" i="25"/>
  <c r="C69" i="25" s="1"/>
  <c r="O63" i="25"/>
  <c r="W63" i="25"/>
  <c r="AA61" i="25"/>
  <c r="R64" i="25"/>
  <c r="K63" i="25"/>
  <c r="S64" i="25"/>
  <c r="AE57" i="25"/>
  <c r="AE70" i="25" s="1"/>
  <c r="C63" i="25"/>
  <c r="M69" i="25" s="1"/>
  <c r="E19" i="20"/>
  <c r="E18" i="20"/>
  <c r="E17" i="20"/>
  <c r="E13" i="20"/>
  <c r="E12" i="20"/>
  <c r="C82" i="28" l="1"/>
  <c r="C83" i="28"/>
  <c r="V72" i="28"/>
  <c r="R72" i="28"/>
  <c r="E81" i="28"/>
  <c r="E85" i="28" s="1"/>
  <c r="E83" i="28"/>
  <c r="E82" i="28"/>
  <c r="I69" i="25"/>
  <c r="I73" i="25" s="1"/>
  <c r="C75" i="25"/>
  <c r="K73" i="25"/>
  <c r="P70" i="25"/>
  <c r="E75" i="25"/>
  <c r="AE62" i="25"/>
  <c r="C73" i="25"/>
  <c r="AE58" i="25"/>
  <c r="AA62" i="25"/>
  <c r="AA63" i="25" s="1"/>
  <c r="AE71" i="25"/>
  <c r="C74" i="25"/>
  <c r="E74" i="25"/>
  <c r="AE61" i="25"/>
  <c r="E73" i="25"/>
  <c r="G75" i="25"/>
  <c r="G74" i="25"/>
  <c r="G73" i="25"/>
  <c r="AE72" i="25"/>
  <c r="V84" i="28" l="1"/>
  <c r="X84" i="28" s="1"/>
  <c r="S83" i="28"/>
  <c r="V86" i="28"/>
  <c r="X86" i="28" s="1"/>
  <c r="V83" i="28"/>
  <c r="X83" i="28" s="1"/>
  <c r="C85" i="28"/>
  <c r="V85" i="28"/>
  <c r="X85" i="28" s="1"/>
  <c r="S82" i="28"/>
  <c r="V87" i="28"/>
  <c r="R82" i="28"/>
  <c r="S81" i="28"/>
  <c r="R81" i="28"/>
  <c r="R83" i="28"/>
  <c r="G77" i="25"/>
  <c r="I74" i="25"/>
  <c r="I75" i="25"/>
  <c r="K75" i="25"/>
  <c r="K74" i="25"/>
  <c r="E77" i="25"/>
  <c r="AE64" i="25"/>
  <c r="AA64" i="25"/>
  <c r="C77" i="25"/>
  <c r="M75" i="25"/>
  <c r="M73" i="25"/>
  <c r="AE79" i="25" s="1"/>
  <c r="M74" i="25"/>
  <c r="V93" i="28" l="1"/>
  <c r="V92" i="28" s="1"/>
  <c r="W89" i="28" s="1"/>
  <c r="W90" i="28" s="1"/>
  <c r="K77" i="25"/>
  <c r="I77" i="25"/>
  <c r="AB75" i="25"/>
  <c r="AB74" i="25"/>
  <c r="AA75" i="25"/>
  <c r="M77" i="25"/>
  <c r="AE76" i="25"/>
  <c r="AE77" i="25"/>
  <c r="AG77" i="25" s="1"/>
  <c r="AE75" i="25"/>
  <c r="AA74" i="25"/>
  <c r="AA73" i="25"/>
  <c r="AB73" i="25"/>
  <c r="AE78" i="25"/>
  <c r="AG78" i="25" s="1"/>
  <c r="A12" i="20"/>
  <c r="A11" i="20"/>
  <c r="A10" i="20"/>
  <c r="A9" i="20"/>
  <c r="A8" i="20"/>
  <c r="A7" i="20"/>
  <c r="X89" i="28" l="1"/>
  <c r="X90" i="28" s="1"/>
  <c r="AG75" i="25"/>
  <c r="AE85" i="25"/>
  <c r="AE84" i="25" s="1"/>
  <c r="AG81" i="25" s="1"/>
  <c r="AG82" i="25" s="1"/>
  <c r="AG76" i="25"/>
  <c r="H73" i="19"/>
  <c r="H69" i="19"/>
  <c r="H70" i="19" s="1"/>
  <c r="H68" i="19"/>
  <c r="I79" i="19"/>
  <c r="G79" i="19"/>
  <c r="E79" i="19"/>
  <c r="C79" i="19"/>
  <c r="O77" i="19"/>
  <c r="O76" i="19"/>
  <c r="I76" i="19"/>
  <c r="G76" i="19"/>
  <c r="E76" i="19"/>
  <c r="C76" i="19"/>
  <c r="J73" i="19"/>
  <c r="I73" i="19"/>
  <c r="G73" i="19"/>
  <c r="F73" i="19"/>
  <c r="E73" i="19"/>
  <c r="D73" i="19"/>
  <c r="C73" i="19"/>
  <c r="J69" i="19"/>
  <c r="J70" i="19" s="1"/>
  <c r="J71" i="19" s="1"/>
  <c r="I69" i="19"/>
  <c r="I70" i="19" s="1"/>
  <c r="G69" i="19"/>
  <c r="G70" i="19" s="1"/>
  <c r="F69" i="19"/>
  <c r="F70" i="19" s="1"/>
  <c r="E69" i="19"/>
  <c r="E70" i="19" s="1"/>
  <c r="D69" i="19"/>
  <c r="C69" i="19"/>
  <c r="C70" i="19" s="1"/>
  <c r="C71" i="19" s="1"/>
  <c r="J68" i="19"/>
  <c r="I68" i="19"/>
  <c r="E78" i="19"/>
  <c r="C78" i="19"/>
  <c r="F68" i="19"/>
  <c r="I78" i="19" s="1"/>
  <c r="E68" i="19"/>
  <c r="D68" i="19"/>
  <c r="C68" i="19"/>
  <c r="B60" i="19"/>
  <c r="B61" i="19" s="1"/>
  <c r="B62" i="19" s="1"/>
  <c r="B63" i="19" s="1"/>
  <c r="B64" i="19" s="1"/>
  <c r="B65" i="19" s="1"/>
  <c r="B66" i="19" s="1"/>
  <c r="B67" i="19" s="1"/>
  <c r="B41" i="19"/>
  <c r="B42" i="19" s="1"/>
  <c r="B43" i="19" s="1"/>
  <c r="B44" i="19" s="1"/>
  <c r="B4" i="19"/>
  <c r="B5" i="19" s="1"/>
  <c r="B6" i="19" s="1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C68" i="17"/>
  <c r="K68" i="17"/>
  <c r="E68" i="17"/>
  <c r="AI69" i="17"/>
  <c r="AI68" i="17"/>
  <c r="M68" i="17"/>
  <c r="I68" i="17"/>
  <c r="G68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E71" i="17" s="1"/>
  <c r="G65" i="17"/>
  <c r="C71" i="17" s="1"/>
  <c r="F65" i="17"/>
  <c r="E65" i="17"/>
  <c r="D65" i="17"/>
  <c r="K71" i="17" s="1"/>
  <c r="C65" i="17"/>
  <c r="AD61" i="17"/>
  <c r="AD62" i="17" s="1"/>
  <c r="AC61" i="17"/>
  <c r="AC62" i="17" s="1"/>
  <c r="AC63" i="17" s="1"/>
  <c r="AB61" i="17"/>
  <c r="AB62" i="17" s="1"/>
  <c r="AA61" i="17"/>
  <c r="AA62" i="17" s="1"/>
  <c r="Z61" i="17"/>
  <c r="Z62" i="17" s="1"/>
  <c r="Y61" i="17"/>
  <c r="Y62" i="17" s="1"/>
  <c r="Y63" i="17" s="1"/>
  <c r="X61" i="17"/>
  <c r="X62" i="17" s="1"/>
  <c r="X63" i="17" s="1"/>
  <c r="W61" i="17"/>
  <c r="W62" i="17" s="1"/>
  <c r="W63" i="17" s="1"/>
  <c r="V61" i="17"/>
  <c r="V62" i="17" s="1"/>
  <c r="U61" i="17"/>
  <c r="U62" i="17" s="1"/>
  <c r="U63" i="17" s="1"/>
  <c r="T61" i="17"/>
  <c r="T62" i="17" s="1"/>
  <c r="S61" i="17"/>
  <c r="S62" i="17" s="1"/>
  <c r="R61" i="17"/>
  <c r="R62" i="17" s="1"/>
  <c r="R63" i="17" s="1"/>
  <c r="Q61" i="17"/>
  <c r="Q62" i="17" s="1"/>
  <c r="Q63" i="17" s="1"/>
  <c r="P61" i="17"/>
  <c r="P62" i="17" s="1"/>
  <c r="P63" i="17" s="1"/>
  <c r="O61" i="17"/>
  <c r="O62" i="17" s="1"/>
  <c r="O63" i="17" s="1"/>
  <c r="N61" i="17"/>
  <c r="N62" i="17" s="1"/>
  <c r="M61" i="17"/>
  <c r="M62" i="17" s="1"/>
  <c r="M63" i="17" s="1"/>
  <c r="L61" i="17"/>
  <c r="L62" i="17" s="1"/>
  <c r="K61" i="17"/>
  <c r="K62" i="17" s="1"/>
  <c r="J61" i="17"/>
  <c r="J62" i="17" s="1"/>
  <c r="J63" i="17" s="1"/>
  <c r="I61" i="17"/>
  <c r="I62" i="17" s="1"/>
  <c r="I63" i="17" s="1"/>
  <c r="H61" i="17"/>
  <c r="H62" i="17" s="1"/>
  <c r="H63" i="17" s="1"/>
  <c r="G61" i="17"/>
  <c r="G62" i="17" s="1"/>
  <c r="G63" i="17" s="1"/>
  <c r="F61" i="17"/>
  <c r="F62" i="17" s="1"/>
  <c r="E61" i="17"/>
  <c r="E62" i="17" s="1"/>
  <c r="E63" i="17" s="1"/>
  <c r="D61" i="17"/>
  <c r="D62" i="17" s="1"/>
  <c r="C61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E70" i="17" s="1"/>
  <c r="G60" i="17"/>
  <c r="C70" i="17" s="1"/>
  <c r="F60" i="17"/>
  <c r="E60" i="17"/>
  <c r="D60" i="17"/>
  <c r="K70" i="17" s="1"/>
  <c r="C60" i="17"/>
  <c r="B52" i="17"/>
  <c r="B53" i="17" s="1"/>
  <c r="B54" i="17" s="1"/>
  <c r="B55" i="17" s="1"/>
  <c r="B56" i="17" s="1"/>
  <c r="B57" i="17" s="1"/>
  <c r="B58" i="17" s="1"/>
  <c r="B59" i="17" s="1"/>
  <c r="B41" i="17"/>
  <c r="B42" i="17" s="1"/>
  <c r="B43" i="17" s="1"/>
  <c r="B44" i="17" s="1"/>
  <c r="B4" i="17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AF81" i="25" l="1"/>
  <c r="AF82" i="25" s="1"/>
  <c r="G78" i="19"/>
  <c r="H72" i="19"/>
  <c r="H71" i="19"/>
  <c r="F72" i="19"/>
  <c r="E72" i="19"/>
  <c r="K69" i="19"/>
  <c r="O79" i="19" s="1"/>
  <c r="O67" i="19"/>
  <c r="K68" i="19"/>
  <c r="D70" i="19"/>
  <c r="D71" i="19" s="1"/>
  <c r="G71" i="19"/>
  <c r="C77" i="19" s="1"/>
  <c r="G72" i="19"/>
  <c r="E77" i="19"/>
  <c r="E81" i="19" s="1"/>
  <c r="E85" i="19" s="1"/>
  <c r="I72" i="19"/>
  <c r="I71" i="19"/>
  <c r="O68" i="19"/>
  <c r="J72" i="19"/>
  <c r="O65" i="19"/>
  <c r="O78" i="19" s="1"/>
  <c r="E71" i="19"/>
  <c r="C72" i="19"/>
  <c r="F71" i="19"/>
  <c r="I77" i="19" s="1"/>
  <c r="I83" i="19" s="1"/>
  <c r="K64" i="17"/>
  <c r="S64" i="17"/>
  <c r="AA64" i="17"/>
  <c r="M71" i="17"/>
  <c r="G71" i="17"/>
  <c r="I71" i="17"/>
  <c r="AC64" i="17"/>
  <c r="Z64" i="17"/>
  <c r="Z63" i="17"/>
  <c r="W64" i="17"/>
  <c r="R64" i="17"/>
  <c r="M64" i="17"/>
  <c r="J64" i="17"/>
  <c r="G70" i="17"/>
  <c r="AE61" i="17"/>
  <c r="AE62" i="17" s="1"/>
  <c r="AE63" i="17" s="1"/>
  <c r="AI60" i="17"/>
  <c r="M70" i="17"/>
  <c r="C62" i="17"/>
  <c r="C64" i="17" s="1"/>
  <c r="P64" i="17"/>
  <c r="X64" i="17"/>
  <c r="I64" i="17"/>
  <c r="Q64" i="17"/>
  <c r="Y64" i="17"/>
  <c r="D64" i="17"/>
  <c r="D63" i="17"/>
  <c r="L63" i="17"/>
  <c r="L64" i="17"/>
  <c r="T63" i="17"/>
  <c r="T64" i="17"/>
  <c r="AB64" i="17"/>
  <c r="AB63" i="17"/>
  <c r="F64" i="17"/>
  <c r="F63" i="17"/>
  <c r="N64" i="17"/>
  <c r="N63" i="17"/>
  <c r="V63" i="17"/>
  <c r="V64" i="17"/>
  <c r="AD64" i="17"/>
  <c r="AD63" i="17"/>
  <c r="I70" i="17"/>
  <c r="AE60" i="17"/>
  <c r="O64" i="17"/>
  <c r="E64" i="17"/>
  <c r="AI59" i="17"/>
  <c r="G64" i="17"/>
  <c r="H64" i="17"/>
  <c r="U64" i="17"/>
  <c r="AI57" i="17"/>
  <c r="AI70" i="17" s="1"/>
  <c r="K63" i="17"/>
  <c r="S63" i="17"/>
  <c r="AA63" i="17"/>
  <c r="K70" i="19" l="1"/>
  <c r="K71" i="19" s="1"/>
  <c r="C83" i="19" s="1"/>
  <c r="D72" i="19"/>
  <c r="O70" i="19" s="1"/>
  <c r="O66" i="19"/>
  <c r="G77" i="19"/>
  <c r="G83" i="19" s="1"/>
  <c r="O80" i="19"/>
  <c r="I82" i="19"/>
  <c r="E83" i="19"/>
  <c r="I81" i="19"/>
  <c r="I85" i="19" s="1"/>
  <c r="E82" i="19"/>
  <c r="O69" i="19"/>
  <c r="E75" i="17"/>
  <c r="G69" i="17"/>
  <c r="G73" i="17" s="1"/>
  <c r="C75" i="17"/>
  <c r="AI71" i="17"/>
  <c r="AI58" i="17"/>
  <c r="AI62" i="17"/>
  <c r="C63" i="17"/>
  <c r="M69" i="17" s="1"/>
  <c r="C73" i="17"/>
  <c r="C74" i="17"/>
  <c r="AE64" i="17"/>
  <c r="AI72" i="17"/>
  <c r="AI61" i="17"/>
  <c r="I69" i="17"/>
  <c r="I74" i="17" s="1"/>
  <c r="P70" i="17"/>
  <c r="C82" i="19" l="1"/>
  <c r="L82" i="19" s="1"/>
  <c r="C81" i="19"/>
  <c r="O84" i="19"/>
  <c r="K72" i="19"/>
  <c r="O86" i="19"/>
  <c r="Q86" i="19" s="1"/>
  <c r="K82" i="19"/>
  <c r="L83" i="19"/>
  <c r="G81" i="19"/>
  <c r="G85" i="19" s="1"/>
  <c r="G82" i="19"/>
  <c r="O72" i="19"/>
  <c r="G75" i="17"/>
  <c r="G74" i="17"/>
  <c r="E73" i="17"/>
  <c r="E74" i="17"/>
  <c r="AI64" i="17"/>
  <c r="M74" i="17"/>
  <c r="M73" i="17"/>
  <c r="M75" i="17"/>
  <c r="K75" i="17"/>
  <c r="K74" i="17"/>
  <c r="K73" i="17"/>
  <c r="C77" i="17"/>
  <c r="I75" i="17"/>
  <c r="I73" i="17"/>
  <c r="K83" i="19" l="1"/>
  <c r="L81" i="19"/>
  <c r="O83" i="19"/>
  <c r="C85" i="19"/>
  <c r="K81" i="19"/>
  <c r="Q84" i="19"/>
  <c r="O85" i="19"/>
  <c r="Q85" i="19" s="1"/>
  <c r="O87" i="19"/>
  <c r="O93" i="19" s="1"/>
  <c r="O92" i="19" s="1"/>
  <c r="G77" i="17"/>
  <c r="E77" i="17"/>
  <c r="K77" i="17"/>
  <c r="AF74" i="17"/>
  <c r="AF75" i="17"/>
  <c r="M77" i="17"/>
  <c r="AI77" i="17"/>
  <c r="AK77" i="17" s="1"/>
  <c r="AE75" i="17"/>
  <c r="AE73" i="17"/>
  <c r="AE74" i="17"/>
  <c r="AI79" i="17"/>
  <c r="AI85" i="17" s="1"/>
  <c r="AI84" i="17" s="1"/>
  <c r="AI78" i="17"/>
  <c r="AK78" i="17" s="1"/>
  <c r="AF73" i="17"/>
  <c r="AI75" i="17"/>
  <c r="I77" i="17"/>
  <c r="Q83" i="19" l="1"/>
  <c r="Q89" i="19"/>
  <c r="Q90" i="19" s="1"/>
  <c r="P89" i="19"/>
  <c r="P90" i="19" s="1"/>
  <c r="AK75" i="17"/>
  <c r="AK81" i="17"/>
  <c r="AK82" i="17" s="1"/>
  <c r="AJ81" i="17"/>
  <c r="AJ82" i="17" s="1"/>
  <c r="AK76" i="17"/>
</calcChain>
</file>

<file path=xl/sharedStrings.xml><?xml version="1.0" encoding="utf-8"?>
<sst xmlns="http://schemas.openxmlformats.org/spreadsheetml/2006/main" count="1118" uniqueCount="208">
  <si>
    <t>Number pellet-group / transect</t>
  </si>
  <si>
    <t>Defecation rate</t>
  </si>
  <si>
    <t>Negative Binomial distribution calculation</t>
  </si>
  <si>
    <t>No. Transects</t>
  </si>
  <si>
    <t>Total Pellet-groups</t>
  </si>
  <si>
    <t>Mean (X) pellet-groups/ transect</t>
  </si>
  <si>
    <r>
      <t>Variance (S</t>
    </r>
    <r>
      <rPr>
        <vertAlign val="superscript"/>
        <sz val="11"/>
        <rFont val="Calibri Light"/>
        <family val="2"/>
      </rPr>
      <t>2</t>
    </r>
    <r>
      <rPr>
        <sz val="11"/>
        <rFont val="Calibri Light"/>
        <family val="2"/>
      </rPr>
      <t>) pellet-groups/ parcel</t>
    </r>
  </si>
  <si>
    <t>NegBin coefficient (k)</t>
  </si>
  <si>
    <t>Studied area:</t>
  </si>
  <si>
    <t>Date:</t>
  </si>
  <si>
    <t xml:space="preserve">Number of transects: </t>
  </si>
  <si>
    <t>MAX</t>
  </si>
  <si>
    <t>Possible dates of deposited pellet-groups</t>
  </si>
  <si>
    <t>Sampling date of each transect  →</t>
  </si>
  <si>
    <r>
      <t>Population density estimation (deer/km</t>
    </r>
    <r>
      <rPr>
        <b/>
        <vertAlign val="superscript"/>
        <sz val="18"/>
        <rFont val="Calibri Light"/>
        <family val="2"/>
      </rPr>
      <t>2</t>
    </r>
    <r>
      <rPr>
        <b/>
        <sz val="18"/>
        <rFont val="Calibri Light"/>
        <family val="2"/>
      </rPr>
      <t>)</t>
    </r>
  </si>
  <si>
    <t>± SD</t>
  </si>
  <si>
    <t>Density</t>
  </si>
  <si>
    <t>0B</t>
  </si>
  <si>
    <t>0C</t>
  </si>
  <si>
    <t>4A</t>
  </si>
  <si>
    <t>4B</t>
  </si>
  <si>
    <t>4C</t>
  </si>
  <si>
    <t>7A</t>
  </si>
  <si>
    <t>7B</t>
  </si>
  <si>
    <t>7C</t>
  </si>
  <si>
    <t>7D</t>
  </si>
  <si>
    <t>7E</t>
  </si>
  <si>
    <t>10C</t>
  </si>
  <si>
    <t>10D</t>
  </si>
  <si>
    <t>Petersham</t>
  </si>
  <si>
    <t>Number of Plots</t>
  </si>
  <si>
    <t>Number of Plots / transect</t>
  </si>
  <si>
    <t>Plot area (m2) / transect</t>
  </si>
  <si>
    <t>Density of pellet groups / transect</t>
  </si>
  <si>
    <t>Deposit days of pellet-groups</t>
  </si>
  <si>
    <t>Mean (X) density of pellet groups/plot</t>
  </si>
  <si>
    <t>No. Plots (n)</t>
  </si>
  <si>
    <t>Plot area (km2) / transect</t>
  </si>
  <si>
    <t>sum of pellet groups</t>
  </si>
  <si>
    <t>sum of plot area (km2)</t>
  </si>
  <si>
    <t>Avg. days to deposit</t>
  </si>
  <si>
    <t>average per replicate</t>
  </si>
  <si>
    <t>Number of Pellet groups</t>
  </si>
  <si>
    <t>PELLET MODEL</t>
  </si>
  <si>
    <t>Average density</t>
  </si>
  <si>
    <t>Average Standard Deviation</t>
  </si>
  <si>
    <t>Maximum</t>
  </si>
  <si>
    <t>Minimum</t>
  </si>
  <si>
    <t>km2</t>
  </si>
  <si>
    <t>mi2</t>
  </si>
  <si>
    <t>Densities estimations (deer/km2) per replicate for defication rates</t>
  </si>
  <si>
    <t>Transect replicates</t>
  </si>
  <si>
    <t>Confidence intervals</t>
  </si>
  <si>
    <t>N</t>
  </si>
  <si>
    <t>Density estimate with 95 % CI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</si>
  <si>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</si>
  <si>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</si>
  <si>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</si>
  <si>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</si>
  <si>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</si>
  <si>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</si>
  <si>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</si>
  <si>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</si>
  <si>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</si>
  <si>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</si>
  <si>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3A</t>
  </si>
  <si>
    <t>3B</t>
  </si>
  <si>
    <t>3C</t>
  </si>
  <si>
    <t>3D</t>
  </si>
  <si>
    <t>Boylston</t>
  </si>
  <si>
    <t>0A</t>
  </si>
  <si>
    <t>4D</t>
  </si>
  <si>
    <t>4E</t>
  </si>
  <si>
    <t>4F</t>
  </si>
  <si>
    <t>6A</t>
  </si>
  <si>
    <t>6B</t>
  </si>
  <si>
    <t>6C</t>
  </si>
  <si>
    <t>7F</t>
  </si>
  <si>
    <t>7G</t>
  </si>
  <si>
    <t>5A</t>
  </si>
  <si>
    <t>5B</t>
  </si>
  <si>
    <t>5C</t>
  </si>
  <si>
    <t>5D</t>
  </si>
  <si>
    <t>5E</t>
  </si>
  <si>
    <t>3E</t>
  </si>
  <si>
    <t>French Hill</t>
  </si>
  <si>
    <t>Justice Brook</t>
  </si>
  <si>
    <t>Deer</t>
  </si>
  <si>
    <t>mean</t>
  </si>
  <si>
    <t>variance</t>
  </si>
  <si>
    <t>standard error</t>
  </si>
  <si>
    <t>CI</t>
  </si>
  <si>
    <t>Lower</t>
  </si>
  <si>
    <t>Upper</t>
  </si>
  <si>
    <t>Average Variance</t>
  </si>
  <si>
    <t>Density estimate with 95 % CI (km2)</t>
  </si>
  <si>
    <t>Standard error</t>
  </si>
  <si>
    <t>Use t-table with N-1 d.f. to get C.I.</t>
  </si>
  <si>
    <t>Prescott</t>
  </si>
  <si>
    <t>10A</t>
  </si>
  <si>
    <t>10B</t>
  </si>
  <si>
    <t>10E</t>
  </si>
  <si>
    <t>moose defecation</t>
  </si>
  <si>
    <t>avg.</t>
  </si>
  <si>
    <t>1 SD</t>
  </si>
  <si>
    <t>rates to use:</t>
  </si>
  <si>
    <r>
      <t>Population density estimation (moose/km</t>
    </r>
    <r>
      <rPr>
        <b/>
        <vertAlign val="superscript"/>
        <sz val="18"/>
        <rFont val="Calibri Light"/>
        <family val="2"/>
      </rPr>
      <t>2</t>
    </r>
    <r>
      <rPr>
        <b/>
        <sz val="18"/>
        <rFont val="Calibri Light"/>
        <family val="2"/>
      </rPr>
      <t>)</t>
    </r>
  </si>
  <si>
    <t>Sudbury</t>
  </si>
  <si>
    <t>3F</t>
  </si>
  <si>
    <t>3G</t>
  </si>
  <si>
    <t>Pelham</t>
  </si>
  <si>
    <t>6D</t>
  </si>
  <si>
    <t>6E</t>
  </si>
  <si>
    <t>Quabbin Park</t>
  </si>
  <si>
    <t>Harvest Data</t>
  </si>
  <si>
    <t>Harvest Date</t>
  </si>
  <si>
    <t># Deer</t>
  </si>
  <si>
    <t>Deposition period</t>
  </si>
  <si>
    <t>pellet groups</t>
  </si>
  <si>
    <t>Total Landscape Pellets</t>
  </si>
  <si>
    <t>Size of study area</t>
  </si>
  <si>
    <t>Adjusted Pellet Groups</t>
  </si>
  <si>
    <t>Adjusted Deer Density (km2)</t>
  </si>
  <si>
    <t>IF ADJUSTED IS SAME (OR CLOSE) TO UNADJUSTED, THEN USE UNADJUSTED</t>
  </si>
  <si>
    <t>Moose</t>
  </si>
  <si>
    <t>Ware River</t>
  </si>
  <si>
    <t>21A</t>
  </si>
  <si>
    <t>WA- Justice</t>
  </si>
  <si>
    <t>WA- French</t>
  </si>
  <si>
    <t>No. Plots</t>
  </si>
  <si>
    <t>No. Pellet Groups</t>
  </si>
  <si>
    <t>Index</t>
  </si>
  <si>
    <t>WA - Pout</t>
  </si>
  <si>
    <t>WA- Boylston</t>
  </si>
  <si>
    <t>Blue Hills</t>
  </si>
  <si>
    <t>Blue Hills Wampa</t>
  </si>
  <si>
    <t>Blue Hills Ponka</t>
  </si>
  <si>
    <t>Random Number</t>
  </si>
  <si>
    <t>Random Number Fixed</t>
  </si>
  <si>
    <t>7b</t>
  </si>
  <si>
    <t>7d</t>
  </si>
  <si>
    <t>7e</t>
  </si>
  <si>
    <t>10a</t>
  </si>
  <si>
    <t>10b</t>
  </si>
  <si>
    <t>10c</t>
  </si>
  <si>
    <t>10d</t>
  </si>
  <si>
    <t>10e</t>
  </si>
  <si>
    <t>12aN</t>
  </si>
  <si>
    <t>12aS</t>
  </si>
  <si>
    <t>12bN</t>
  </si>
  <si>
    <t>12bS</t>
  </si>
  <si>
    <t>12cN</t>
  </si>
  <si>
    <t>12cS</t>
  </si>
  <si>
    <t>12dN</t>
  </si>
  <si>
    <t>12dS</t>
  </si>
  <si>
    <t>12eN</t>
  </si>
  <si>
    <t>12eS</t>
  </si>
  <si>
    <t>15aS</t>
  </si>
  <si>
    <t>15bS</t>
  </si>
  <si>
    <t>15cS</t>
  </si>
  <si>
    <t>15dS</t>
  </si>
  <si>
    <t>15eS</t>
  </si>
  <si>
    <t>18a</t>
  </si>
  <si>
    <t>18b</t>
  </si>
  <si>
    <t>18c</t>
  </si>
  <si>
    <t>18d</t>
  </si>
  <si>
    <t>18e</t>
  </si>
  <si>
    <t>21b</t>
  </si>
  <si>
    <t>21c</t>
  </si>
  <si>
    <t>21d</t>
  </si>
  <si>
    <t>21e</t>
  </si>
  <si>
    <t>23a</t>
  </si>
  <si>
    <t>23b</t>
  </si>
  <si>
    <t>23c</t>
  </si>
  <si>
    <t>23d</t>
  </si>
  <si>
    <t>23e</t>
  </si>
  <si>
    <t>26b</t>
  </si>
  <si>
    <t>26c</t>
  </si>
  <si>
    <t>26d</t>
  </si>
  <si>
    <t>26e</t>
  </si>
  <si>
    <t>29a</t>
  </si>
  <si>
    <t>33a</t>
  </si>
  <si>
    <t>33b</t>
  </si>
  <si>
    <t>33c</t>
  </si>
  <si>
    <t>33d</t>
  </si>
  <si>
    <t>33e</t>
  </si>
  <si>
    <t>35a</t>
  </si>
  <si>
    <t>35b</t>
  </si>
  <si>
    <t>35c</t>
  </si>
  <si>
    <t>35d</t>
  </si>
  <si>
    <t>35e</t>
  </si>
  <si>
    <t>37a</t>
  </si>
  <si>
    <t>37b</t>
  </si>
  <si>
    <t>37c</t>
  </si>
  <si>
    <t>37d</t>
  </si>
  <si>
    <t>Great Blue</t>
  </si>
  <si>
    <t>Ponkapoag</t>
  </si>
  <si>
    <t>Houghton Pond</t>
  </si>
  <si>
    <t xml:space="preserve">Chickatawbut </t>
  </si>
  <si>
    <t>Wampatuck</t>
  </si>
  <si>
    <t>Blue Hills- Great Blue</t>
  </si>
  <si>
    <t>Blue Hills Houghton</t>
  </si>
  <si>
    <t>Blue Hills Chick</t>
  </si>
  <si>
    <t>All Transects</t>
  </si>
  <si>
    <t>All transects</t>
  </si>
  <si>
    <t>Houghton</t>
  </si>
  <si>
    <t>Wampa</t>
  </si>
  <si>
    <t>Chick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</si>
</sst>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dd/mm/yyyy;@"/>
    <numFmt numFmtId="167" formatCode="0.0"/>
    <numFmt numFmtId="168" formatCode="0.0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4"/>
      <name val="Calibri Light"/>
      <family val="2"/>
    </font>
    <font>
      <sz val="11"/>
      <color rgb="FF006100"/>
      <name val="Calibri Light"/>
      <family val="2"/>
    </font>
    <font>
      <sz val="11"/>
      <color rgb="FFFF0000"/>
      <name val="Calibri Light"/>
      <family val="2"/>
    </font>
    <font>
      <b/>
      <sz val="10"/>
      <color indexed="10"/>
      <name val="Calibri Light"/>
      <family val="2"/>
    </font>
    <font>
      <b/>
      <sz val="10"/>
      <color indexed="12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sz val="11"/>
      <color rgb="FF9C6500"/>
      <name val="Calibri Light"/>
      <family val="2"/>
    </font>
    <font>
      <b/>
      <sz val="14"/>
      <name val="Calibri Light"/>
      <family val="2"/>
    </font>
    <font>
      <sz val="18"/>
      <name val="Calibri Light"/>
      <family val="2"/>
    </font>
    <font>
      <i/>
      <sz val="10"/>
      <name val="Calibri Light"/>
      <family val="2"/>
    </font>
    <font>
      <b/>
      <sz val="18"/>
      <name val="Calibri Light"/>
      <family val="2"/>
    </font>
    <font>
      <b/>
      <vertAlign val="superscript"/>
      <sz val="18"/>
      <name val="Calibri Light"/>
      <family val="2"/>
    </font>
    <font>
      <vertAlign val="superscript"/>
      <sz val="11"/>
      <name val="Calibri Light"/>
      <family val="2"/>
    </font>
    <font>
      <b/>
      <sz val="9"/>
      <color theme="0"/>
      <name val="Calibri Light"/>
      <family val="2"/>
    </font>
    <font>
      <b/>
      <sz val="18"/>
      <color theme="0"/>
      <name val="Calibri Light"/>
      <family val="2"/>
    </font>
    <font>
      <b/>
      <sz val="14"/>
      <color theme="1"/>
      <name val="Calibri Light"/>
      <family val="2"/>
    </font>
    <font>
      <sz val="12"/>
      <name val="Calibri Light"/>
      <family val="2"/>
    </font>
    <font>
      <b/>
      <sz val="12"/>
      <color rgb="FFFF0000"/>
      <name val="Calibri Light"/>
      <family val="2"/>
    </font>
    <font>
      <sz val="10"/>
      <name val="Arial"/>
    </font>
    <font>
      <sz val="10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b/>
      <sz val="11"/>
      <color rgb="FFFF0000"/>
      <name val="Calibri Light"/>
      <family val="2"/>
    </font>
    <font>
      <b/>
      <sz val="16"/>
      <color rgb="FFFF0000"/>
      <name val="Calibri Light"/>
      <family val="2"/>
    </font>
    <font>
      <b/>
      <sz val="24"/>
      <color rgb="FFFF0000"/>
      <name val="Calibri Light"/>
      <family val="2"/>
    </font>
  </fonts>
  <fills count="1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7" borderId="15" applyNumberFormat="0" applyFont="0" applyAlignment="0" applyProtection="0"/>
    <xf numFmtId="0" fontId="2" fillId="0" borderId="0"/>
    <xf numFmtId="0" fontId="34" fillId="0" borderId="0"/>
    <xf numFmtId="0" fontId="35" fillId="0" borderId="0"/>
    <xf numFmtId="0" fontId="1" fillId="0" borderId="0"/>
  </cellStyleXfs>
  <cellXfs count="183">
    <xf numFmtId="0" fontId="0" fillId="0" borderId="0" xfId="0"/>
    <xf numFmtId="0" fontId="9" fillId="0" borderId="0" xfId="0" applyFont="1" applyAlignment="1">
      <alignment horizontal="center"/>
    </xf>
    <xf numFmtId="0" fontId="8" fillId="0" borderId="0" xfId="0" applyFont="1"/>
    <xf numFmtId="166" fontId="8" fillId="0" borderId="0" xfId="0" applyNumberFormat="1" applyFont="1"/>
    <xf numFmtId="0" fontId="12" fillId="5" borderId="2" xfId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10" borderId="0" xfId="0" applyFont="1" applyFill="1" applyAlignment="1">
      <alignment horizontal="center" wrapText="1"/>
    </xf>
    <xf numFmtId="0" fontId="16" fillId="7" borderId="0" xfId="3" applyFont="1" applyAlignment="1">
      <alignment horizontal="center"/>
    </xf>
    <xf numFmtId="0" fontId="7" fillId="12" borderId="0" xfId="0" applyFont="1" applyFill="1" applyAlignment="1">
      <alignment horizontal="center"/>
    </xf>
    <xf numFmtId="0" fontId="7" fillId="12" borderId="0" xfId="0" applyFont="1" applyFill="1" applyAlignment="1">
      <alignment horizontal="left"/>
    </xf>
    <xf numFmtId="0" fontId="8" fillId="0" borderId="0" xfId="0" applyFont="1" applyFill="1"/>
    <xf numFmtId="0" fontId="17" fillId="13" borderId="0" xfId="5" applyFont="1" applyFill="1" applyAlignment="1">
      <alignment horizontal="center"/>
    </xf>
    <xf numFmtId="167" fontId="18" fillId="12" borderId="0" xfId="0" applyNumberFormat="1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167" fontId="16" fillId="7" borderId="0" xfId="3" applyNumberFormat="1" applyFont="1" applyAlignment="1">
      <alignment horizontal="center"/>
    </xf>
    <xf numFmtId="0" fontId="17" fillId="13" borderId="1" xfId="5" applyFont="1" applyFill="1" applyBorder="1" applyAlignment="1">
      <alignment horizontal="center"/>
    </xf>
    <xf numFmtId="167" fontId="16" fillId="7" borderId="1" xfId="3" applyNumberFormat="1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19" fillId="0" borderId="0" xfId="4" applyFont="1" applyFill="1" applyBorder="1"/>
    <xf numFmtId="0" fontId="7" fillId="0" borderId="0" xfId="4" applyFont="1" applyFill="1" applyBorder="1"/>
    <xf numFmtId="2" fontId="20" fillId="0" borderId="0" xfId="2" applyNumberFormat="1" applyFont="1" applyFill="1" applyAlignment="1">
      <alignment horizontal="center"/>
    </xf>
    <xf numFmtId="165" fontId="8" fillId="0" borderId="0" xfId="0" applyNumberFormat="1" applyFont="1"/>
    <xf numFmtId="0" fontId="21" fillId="0" borderId="0" xfId="4" applyFont="1" applyFill="1" applyBorder="1"/>
    <xf numFmtId="167" fontId="7" fillId="0" borderId="0" xfId="4" applyNumberFormat="1" applyFont="1" applyFill="1" applyBorder="1"/>
    <xf numFmtId="16" fontId="8" fillId="0" borderId="0" xfId="0" applyNumberFormat="1" applyFont="1"/>
    <xf numFmtId="166" fontId="7" fillId="0" borderId="0" xfId="4" applyNumberFormat="1" applyFont="1" applyFill="1" applyBorder="1"/>
    <xf numFmtId="2" fontId="22" fillId="0" borderId="0" xfId="0" applyNumberFormat="1" applyFont="1" applyBorder="1" applyAlignment="1">
      <alignment horizontal="left"/>
    </xf>
    <xf numFmtId="2" fontId="22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23" fillId="0" borderId="0" xfId="0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24" fillId="15" borderId="8" xfId="0" applyFont="1" applyFill="1" applyBorder="1" applyAlignment="1">
      <alignment horizontal="left"/>
    </xf>
    <xf numFmtId="0" fontId="21" fillId="15" borderId="9" xfId="0" applyFont="1" applyFill="1" applyBorder="1"/>
    <xf numFmtId="0" fontId="21" fillId="15" borderId="10" xfId="0" applyFont="1" applyFill="1" applyBorder="1"/>
    <xf numFmtId="0" fontId="18" fillId="15" borderId="5" xfId="0" applyFont="1" applyFill="1" applyBorder="1"/>
    <xf numFmtId="0" fontId="18" fillId="0" borderId="0" xfId="0" applyFont="1" applyFill="1" applyBorder="1"/>
    <xf numFmtId="167" fontId="8" fillId="0" borderId="0" xfId="0" applyNumberFormat="1" applyFont="1" applyBorder="1" applyAlignment="1">
      <alignment horizontal="right"/>
    </xf>
    <xf numFmtId="167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NumberFormat="1" applyFont="1"/>
    <xf numFmtId="0" fontId="10" fillId="3" borderId="6" xfId="4" applyFont="1" applyFill="1" applyBorder="1"/>
    <xf numFmtId="0" fontId="10" fillId="3" borderId="7" xfId="4" applyFont="1" applyFill="1" applyBorder="1"/>
    <xf numFmtId="0" fontId="10" fillId="3" borderId="3" xfId="0" applyFont="1" applyFill="1" applyBorder="1"/>
    <xf numFmtId="0" fontId="8" fillId="3" borderId="0" xfId="0" applyFont="1" applyFill="1" applyBorder="1"/>
    <xf numFmtId="0" fontId="20" fillId="0" borderId="0" xfId="2" applyFont="1" applyFill="1" applyBorder="1"/>
    <xf numFmtId="167" fontId="8" fillId="0" borderId="0" xfId="0" applyNumberFormat="1" applyFont="1" applyFill="1" applyBorder="1" applyAlignment="1">
      <alignment horizontal="right"/>
    </xf>
    <xf numFmtId="0" fontId="8" fillId="0" borderId="0" xfId="0" quotePrefix="1" applyNumberFormat="1" applyFont="1" applyBorder="1"/>
    <xf numFmtId="0" fontId="8" fillId="0" borderId="0" xfId="0" quotePrefix="1" applyNumberFormat="1" applyFont="1"/>
    <xf numFmtId="167" fontId="8" fillId="0" borderId="0" xfId="0" applyNumberFormat="1" applyFont="1"/>
    <xf numFmtId="0" fontId="10" fillId="3" borderId="0" xfId="0" applyFont="1" applyFill="1" applyBorder="1"/>
    <xf numFmtId="0" fontId="10" fillId="3" borderId="4" xfId="0" applyFont="1" applyFill="1" applyBorder="1"/>
    <xf numFmtId="0" fontId="10" fillId="3" borderId="4" xfId="0" applyFont="1" applyFill="1" applyBorder="1" applyAlignment="1">
      <alignment horizontal="center" vertical="center"/>
    </xf>
    <xf numFmtId="0" fontId="13" fillId="0" borderId="0" xfId="0" applyFont="1" applyFill="1"/>
    <xf numFmtId="16" fontId="8" fillId="0" borderId="0" xfId="0" quotePrefix="1" applyNumberFormat="1" applyFont="1" applyBorder="1"/>
    <xf numFmtId="0" fontId="21" fillId="3" borderId="4" xfId="4" applyFont="1" applyFill="1" applyBorder="1" applyAlignment="1">
      <alignment horizontal="left"/>
    </xf>
    <xf numFmtId="167" fontId="9" fillId="0" borderId="0" xfId="0" applyNumberFormat="1" applyFont="1" applyAlignment="1">
      <alignment horizontal="center"/>
    </xf>
    <xf numFmtId="0" fontId="10" fillId="3" borderId="4" xfId="4" applyFont="1" applyFill="1" applyBorder="1" applyAlignment="1">
      <alignment horizontal="left"/>
    </xf>
    <xf numFmtId="2" fontId="21" fillId="3" borderId="4" xfId="4" applyNumberFormat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horizontal="center"/>
    </xf>
    <xf numFmtId="164" fontId="10" fillId="3" borderId="4" xfId="4" applyNumberFormat="1" applyFont="1" applyFill="1" applyBorder="1" applyAlignment="1">
      <alignment horizontal="left"/>
    </xf>
    <xf numFmtId="167" fontId="21" fillId="3" borderId="4" xfId="4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167" fontId="21" fillId="3" borderId="0" xfId="0" applyNumberFormat="1" applyFont="1" applyFill="1" applyAlignment="1">
      <alignment horizontal="center" vertical="top"/>
    </xf>
    <xf numFmtId="167" fontId="8" fillId="0" borderId="0" xfId="0" applyNumberFormat="1" applyFont="1" applyFill="1" applyAlignment="1">
      <alignment horizontal="center"/>
    </xf>
    <xf numFmtId="0" fontId="8" fillId="0" borderId="0" xfId="0" applyNumberFormat="1" applyFont="1" applyBorder="1"/>
    <xf numFmtId="0" fontId="15" fillId="13" borderId="0" xfId="5" applyFont="1" applyFill="1" applyAlignment="1">
      <alignment horizontal="left"/>
    </xf>
    <xf numFmtId="167" fontId="18" fillId="7" borderId="0" xfId="3" applyNumberFormat="1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10" borderId="0" xfId="0" applyFont="1" applyFill="1"/>
    <xf numFmtId="0" fontId="18" fillId="10" borderId="0" xfId="0" applyFont="1" applyFill="1" applyAlignment="1">
      <alignment horizontal="center"/>
    </xf>
    <xf numFmtId="166" fontId="12" fillId="1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167" fontId="16" fillId="16" borderId="0" xfId="0" applyNumberFormat="1" applyFont="1" applyFill="1" applyAlignment="1">
      <alignment horizontal="center" vertical="top"/>
    </xf>
    <xf numFmtId="0" fontId="27" fillId="7" borderId="0" xfId="3" applyFont="1" applyAlignment="1">
      <alignment horizontal="left" vertical="top"/>
    </xf>
    <xf numFmtId="0" fontId="20" fillId="4" borderId="0" xfId="2" applyFont="1" applyFill="1"/>
    <xf numFmtId="2" fontId="20" fillId="4" borderId="0" xfId="2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8" fillId="7" borderId="0" xfId="3" applyFont="1" applyAlignment="1">
      <alignment horizontal="left" vertical="top"/>
    </xf>
    <xf numFmtId="0" fontId="29" fillId="13" borderId="0" xfId="5" applyFont="1" applyFill="1" applyAlignment="1">
      <alignment horizontal="center" vertical="top"/>
    </xf>
    <xf numFmtId="0" fontId="31" fillId="2" borderId="0" xfId="0" applyFont="1" applyFill="1"/>
    <xf numFmtId="0" fontId="12" fillId="11" borderId="0" xfId="0" applyFont="1" applyFill="1"/>
    <xf numFmtId="0" fontId="11" fillId="5" borderId="2" xfId="1" applyFont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" fontId="7" fillId="4" borderId="0" xfId="0" applyNumberFormat="1" applyFont="1" applyFill="1" applyAlignment="1">
      <alignment horizontal="center"/>
    </xf>
    <xf numFmtId="168" fontId="7" fillId="4" borderId="0" xfId="0" applyNumberFormat="1" applyFont="1" applyFill="1" applyAlignment="1">
      <alignment horizontal="center"/>
    </xf>
    <xf numFmtId="168" fontId="7" fillId="14" borderId="0" xfId="0" applyNumberFormat="1" applyFont="1" applyFill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1" fontId="10" fillId="3" borderId="6" xfId="4" applyNumberFormat="1" applyFont="1" applyFill="1" applyBorder="1"/>
    <xf numFmtId="0" fontId="21" fillId="3" borderId="4" xfId="0" applyFont="1" applyFill="1" applyBorder="1"/>
    <xf numFmtId="167" fontId="21" fillId="3" borderId="4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/>
    <xf numFmtId="0" fontId="10" fillId="3" borderId="4" xfId="0" applyFont="1" applyFill="1" applyBorder="1" applyAlignment="1">
      <alignment horizontal="right"/>
    </xf>
    <xf numFmtId="167" fontId="10" fillId="3" borderId="13" xfId="0" applyNumberFormat="1" applyFont="1" applyFill="1" applyBorder="1"/>
    <xf numFmtId="0" fontId="10" fillId="3" borderId="13" xfId="0" applyFont="1" applyFill="1" applyBorder="1"/>
    <xf numFmtId="0" fontId="9" fillId="17" borderId="15" xfId="6" applyFont="1"/>
    <xf numFmtId="0" fontId="33" fillId="0" borderId="0" xfId="0" applyFont="1"/>
    <xf numFmtId="167" fontId="18" fillId="7" borderId="0" xfId="3" applyNumberFormat="1" applyFont="1" applyAlignment="1">
      <alignment horizontal="center"/>
    </xf>
    <xf numFmtId="0" fontId="30" fillId="0" borderId="0" xfId="0" applyFont="1" applyAlignment="1">
      <alignment horizontal="center"/>
    </xf>
    <xf numFmtId="167" fontId="0" fillId="0" borderId="0" xfId="0" applyNumberFormat="1"/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167" fontId="16" fillId="7" borderId="11" xfId="3" applyNumberFormat="1" applyFont="1" applyBorder="1" applyAlignment="1">
      <alignment horizontal="center"/>
    </xf>
    <xf numFmtId="167" fontId="18" fillId="7" borderId="0" xfId="3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/>
    <xf numFmtId="0" fontId="19" fillId="0" borderId="0" xfId="0" applyFont="1" applyAlignment="1">
      <alignment horizontal="left"/>
    </xf>
    <xf numFmtId="1" fontId="8" fillId="0" borderId="0" xfId="0" applyNumberFormat="1" applyFont="1" applyFill="1" applyAlignment="1">
      <alignment horizontal="center"/>
    </xf>
    <xf numFmtId="167" fontId="19" fillId="0" borderId="0" xfId="0" applyNumberFormat="1" applyFont="1"/>
    <xf numFmtId="0" fontId="30" fillId="0" borderId="0" xfId="0" applyFont="1" applyAlignment="1">
      <alignment horizontal="center"/>
    </xf>
    <xf numFmtId="0" fontId="12" fillId="5" borderId="0" xfId="1" applyFont="1" applyBorder="1" applyAlignment="1">
      <alignment horizontal="center"/>
    </xf>
    <xf numFmtId="167" fontId="16" fillId="7" borderId="0" xfId="3" applyNumberFormat="1" applyFont="1" applyBorder="1" applyAlignment="1">
      <alignment horizontal="center"/>
    </xf>
    <xf numFmtId="14" fontId="2" fillId="0" borderId="0" xfId="7" applyNumberFormat="1"/>
    <xf numFmtId="14" fontId="2" fillId="10" borderId="0" xfId="7" applyNumberFormat="1" applyFill="1"/>
    <xf numFmtId="14" fontId="8" fillId="0" borderId="0" xfId="0" applyNumberFormat="1" applyFont="1"/>
    <xf numFmtId="167" fontId="18" fillId="7" borderId="0" xfId="3" applyNumberFormat="1" applyFont="1" applyAlignment="1">
      <alignment horizontal="center"/>
    </xf>
    <xf numFmtId="167" fontId="16" fillId="7" borderId="11" xfId="3" applyNumberFormat="1" applyFont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7" fontId="18" fillId="7" borderId="0" xfId="3" applyNumberFormat="1" applyFont="1" applyAlignment="1">
      <alignment horizontal="center"/>
    </xf>
    <xf numFmtId="14" fontId="12" fillId="10" borderId="0" xfId="0" applyNumberFormat="1" applyFont="1" applyFill="1" applyAlignment="1">
      <alignment horizontal="center"/>
    </xf>
    <xf numFmtId="167" fontId="16" fillId="16" borderId="0" xfId="0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167" fontId="18" fillId="7" borderId="0" xfId="3" applyNumberFormat="1" applyFont="1" applyAlignment="1">
      <alignment horizontal="center"/>
    </xf>
    <xf numFmtId="167" fontId="16" fillId="7" borderId="12" xfId="3" applyNumberFormat="1" applyFont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16" fillId="16" borderId="0" xfId="0" applyNumberFormat="1" applyFont="1" applyFill="1" applyAlignment="1">
      <alignment horizontal="center" vertical="top"/>
    </xf>
    <xf numFmtId="0" fontId="8" fillId="10" borderId="0" xfId="0" applyFont="1" applyFill="1"/>
    <xf numFmtId="0" fontId="9" fillId="10" borderId="0" xfId="0" applyFont="1" applyFill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12" fillId="5" borderId="18" xfId="1" applyFont="1" applyBorder="1" applyAlignment="1">
      <alignment horizontal="center"/>
    </xf>
    <xf numFmtId="0" fontId="18" fillId="10" borderId="19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18" fillId="10" borderId="20" xfId="0" applyFont="1" applyFill="1" applyBorder="1" applyAlignment="1">
      <alignment horizontal="center"/>
    </xf>
    <xf numFmtId="14" fontId="2" fillId="10" borderId="21" xfId="7" applyNumberFormat="1" applyFill="1" applyBorder="1" applyAlignment="1">
      <alignment horizontal="center"/>
    </xf>
    <xf numFmtId="14" fontId="2" fillId="10" borderId="0" xfId="7" applyNumberFormat="1" applyFill="1" applyAlignment="1">
      <alignment horizontal="center"/>
    </xf>
    <xf numFmtId="0" fontId="7" fillId="10" borderId="0" xfId="0" applyFont="1" applyFill="1" applyAlignment="1">
      <alignment horizontal="center"/>
    </xf>
    <xf numFmtId="14" fontId="2" fillId="10" borderId="16" xfId="7" applyNumberFormat="1" applyFill="1" applyBorder="1" applyAlignment="1">
      <alignment horizontal="center"/>
    </xf>
    <xf numFmtId="14" fontId="2" fillId="0" borderId="0" xfId="7" applyNumberFormat="1" applyAlignment="1">
      <alignment horizontal="center"/>
    </xf>
    <xf numFmtId="0" fontId="36" fillId="11" borderId="0" xfId="0" applyFont="1" applyFill="1"/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167" fontId="16" fillId="7" borderId="11" xfId="3" applyNumberFormat="1" applyFont="1" applyBorder="1" applyAlignment="1">
      <alignment horizontal="center"/>
    </xf>
    <xf numFmtId="167" fontId="18" fillId="7" borderId="0" xfId="3" applyNumberFormat="1" applyFont="1" applyAlignment="1">
      <alignment horizontal="center"/>
    </xf>
    <xf numFmtId="167" fontId="21" fillId="3" borderId="22" xfId="0" applyNumberFormat="1" applyFont="1" applyFill="1" applyBorder="1" applyAlignment="1">
      <alignment horizontal="center" vertical="top"/>
    </xf>
    <xf numFmtId="0" fontId="18" fillId="10" borderId="23" xfId="0" applyFont="1" applyFill="1" applyBorder="1" applyAlignment="1">
      <alignment horizontal="center"/>
    </xf>
    <xf numFmtId="14" fontId="2" fillId="10" borderId="6" xfId="7" applyNumberFormat="1" applyFill="1" applyBorder="1" applyAlignment="1">
      <alignment horizontal="center"/>
    </xf>
    <xf numFmtId="0" fontId="30" fillId="0" borderId="0" xfId="0" applyFont="1" applyAlignment="1">
      <alignment horizontal="center"/>
    </xf>
    <xf numFmtId="167" fontId="18" fillId="7" borderId="0" xfId="3" applyNumberFormat="1" applyFont="1" applyAlignment="1">
      <alignment horizontal="center"/>
    </xf>
    <xf numFmtId="167" fontId="16" fillId="7" borderId="11" xfId="3" applyNumberFormat="1" applyFont="1" applyBorder="1" applyAlignment="1">
      <alignment horizontal="center"/>
    </xf>
    <xf numFmtId="167" fontId="16" fillId="7" borderId="12" xfId="3" applyNumberFormat="1" applyFont="1" applyBorder="1" applyAlignment="1">
      <alignment horizontal="center"/>
    </xf>
    <xf numFmtId="167" fontId="18" fillId="7" borderId="0" xfId="3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quotePrefix="1" applyFont="1" applyAlignment="1">
      <alignment horizontal="center"/>
    </xf>
    <xf numFmtId="0" fontId="38" fillId="2" borderId="0" xfId="0" applyFont="1" applyFill="1" applyAlignment="1">
      <alignment horizontal="center" vertical="center"/>
    </xf>
    <xf numFmtId="0" fontId="37" fillId="11" borderId="0" xfId="0" applyFont="1" applyFill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167" fontId="16" fillId="7" borderId="14" xfId="3" applyNumberFormat="1" applyFont="1" applyBorder="1" applyAlignment="1">
      <alignment horizontal="center"/>
    </xf>
    <xf numFmtId="14" fontId="12" fillId="11" borderId="0" xfId="0" applyNumberFormat="1" applyFont="1" applyFill="1"/>
    <xf numFmtId="14" fontId="7" fillId="10" borderId="0" xfId="0" applyNumberFormat="1" applyFont="1" applyFill="1"/>
  </cellXfs>
  <cellStyles count="11">
    <cellStyle name="40% - Accent5" xfId="5" builtinId="47"/>
    <cellStyle name="Accent1" xfId="3" builtinId="29"/>
    <cellStyle name="Accent4" xfId="4" builtinId="41"/>
    <cellStyle name="Good" xfId="1" builtinId="26"/>
    <cellStyle name="Neutral" xfId="2" builtinId="28"/>
    <cellStyle name="Normal" xfId="0" builtinId="0"/>
    <cellStyle name="Normal 2" xfId="8"/>
    <cellStyle name="Normal 3" xfId="9"/>
    <cellStyle name="Normal 4" xfId="7"/>
    <cellStyle name="Normal 5" xfId="10"/>
    <cellStyle name="Note" xfId="6" builtinId="1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0531214718493"/>
          <c:y val="3.6962191360249641E-2"/>
          <c:w val="0.83163314129302301"/>
          <c:h val="0.78315991017872866"/>
        </c:manualLayout>
      </c:layout>
      <c:lineChart>
        <c:grouping val="standard"/>
        <c:varyColors val="0"/>
        <c:ser>
          <c:idx val="0"/>
          <c:order val="0"/>
          <c:tx>
            <c:strRef>
              <c:f>Index!$E$4</c:f>
              <c:strCache>
                <c:ptCount val="1"/>
                <c:pt idx="0">
                  <c:v>Index</c:v>
                </c:pt>
              </c:strCache>
            </c:strRef>
          </c:tx>
          <c:marker>
            <c:symbol val="none"/>
          </c:marker>
          <c:cat>
            <c:strRef>
              <c:f>Index!$A$5:$A$14</c:f>
              <c:strCache>
                <c:ptCount val="10"/>
                <c:pt idx="0">
                  <c:v>Pelham</c:v>
                </c:pt>
                <c:pt idx="1">
                  <c:v>Quabbin Park</c:v>
                </c:pt>
                <c:pt idx="2">
                  <c:v>Prescott</c:v>
                </c:pt>
                <c:pt idx="3">
                  <c:v>Petersham</c:v>
                </c:pt>
                <c:pt idx="4">
                  <c:v>Ware River</c:v>
                </c:pt>
                <c:pt idx="5">
                  <c:v>WA- Justice</c:v>
                </c:pt>
                <c:pt idx="6">
                  <c:v>WA- French</c:v>
                </c:pt>
                <c:pt idx="7">
                  <c:v>WA - Pout</c:v>
                </c:pt>
                <c:pt idx="8">
                  <c:v>WA- Boylston</c:v>
                </c:pt>
                <c:pt idx="9">
                  <c:v>Sudbury</c:v>
                </c:pt>
              </c:strCache>
            </c:strRef>
          </c:cat>
          <c:val>
            <c:numRef>
              <c:f>Index!$E$5:$E$14</c:f>
              <c:numCache>
                <c:formatCode>0.0</c:formatCode>
                <c:ptCount val="10"/>
                <c:pt idx="0">
                  <c:v>6.7510548523206753</c:v>
                </c:pt>
                <c:pt idx="1">
                  <c:v>16.60839160839161</c:v>
                </c:pt>
                <c:pt idx="2">
                  <c:v>2.1549747822099956</c:v>
                </c:pt>
                <c:pt idx="3">
                  <c:v>7.7333333333333334</c:v>
                </c:pt>
                <c:pt idx="4">
                  <c:v>7.7713264850379637</c:v>
                </c:pt>
                <c:pt idx="5">
                  <c:v>2.147239263803681</c:v>
                </c:pt>
                <c:pt idx="6">
                  <c:v>20.065789473684209</c:v>
                </c:pt>
                <c:pt idx="7">
                  <c:v>2.4229074889867843</c:v>
                </c:pt>
                <c:pt idx="8">
                  <c:v>10.914454277286136</c:v>
                </c:pt>
                <c:pt idx="9">
                  <c:v>17.668488160291439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8320"/>
        <c:axId val="94890240"/>
      </c:lineChart>
      <c:lineChart>
        <c:grouping val="standard"/>
        <c:varyColors val="0"/>
        <c:ser>
          <c:idx val="1"/>
          <c:order val="1"/>
          <c:tx>
            <c:strRef>
              <c:f>Index!$F$4</c:f>
              <c:strCache>
                <c:ptCount val="1"/>
                <c:pt idx="0">
                  <c:v>Density</c:v>
                </c:pt>
              </c:strCache>
            </c:strRef>
          </c:tx>
          <c:marker>
            <c:symbol val="none"/>
          </c:marker>
          <c:cat>
            <c:strRef>
              <c:f>Index!$A$5:$A$14</c:f>
              <c:strCache>
                <c:ptCount val="10"/>
                <c:pt idx="0">
                  <c:v>Pelham</c:v>
                </c:pt>
                <c:pt idx="1">
                  <c:v>Quabbin Park</c:v>
                </c:pt>
                <c:pt idx="2">
                  <c:v>Prescott</c:v>
                </c:pt>
                <c:pt idx="3">
                  <c:v>Petersham</c:v>
                </c:pt>
                <c:pt idx="4">
                  <c:v>Ware River</c:v>
                </c:pt>
                <c:pt idx="5">
                  <c:v>WA- Justice</c:v>
                </c:pt>
                <c:pt idx="6">
                  <c:v>WA- French</c:v>
                </c:pt>
                <c:pt idx="7">
                  <c:v>WA - Pout</c:v>
                </c:pt>
                <c:pt idx="8">
                  <c:v>WA- Boylston</c:v>
                </c:pt>
                <c:pt idx="9">
                  <c:v>Sudbury</c:v>
                </c:pt>
              </c:strCache>
            </c:strRef>
          </c:cat>
          <c:val>
            <c:numRef>
              <c:f>Index!$F$5:$F$14</c:f>
              <c:numCache>
                <c:formatCode>General</c:formatCode>
                <c:ptCount val="10"/>
                <c:pt idx="0">
                  <c:v>13.7</c:v>
                </c:pt>
                <c:pt idx="1">
                  <c:v>35.6</c:v>
                </c:pt>
                <c:pt idx="2">
                  <c:v>3.7</c:v>
                </c:pt>
                <c:pt idx="3">
                  <c:v>20.7</c:v>
                </c:pt>
                <c:pt idx="4">
                  <c:v>13.1</c:v>
                </c:pt>
                <c:pt idx="5">
                  <c:v>8.8000000000000007</c:v>
                </c:pt>
                <c:pt idx="6">
                  <c:v>81.8</c:v>
                </c:pt>
                <c:pt idx="7">
                  <c:v>6.6</c:v>
                </c:pt>
                <c:pt idx="8">
                  <c:v>31.8</c:v>
                </c:pt>
                <c:pt idx="9">
                  <c:v>42.5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8576"/>
        <c:axId val="86966656"/>
      </c:lineChart>
      <c:catAx>
        <c:axId val="9488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Study Area</a:t>
                </a:r>
              </a:p>
            </c:rich>
          </c:tx>
          <c:layout>
            <c:manualLayout>
              <c:xMode val="edge"/>
              <c:yMode val="edge"/>
              <c:x val="0.47739391095430289"/>
              <c:y val="0.96165966658230662"/>
            </c:manualLayout>
          </c:layout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4890240"/>
        <c:crosses val="autoZero"/>
        <c:auto val="1"/>
        <c:lblAlgn val="ctr"/>
        <c:lblOffset val="100"/>
        <c:noMultiLvlLbl val="0"/>
      </c:catAx>
      <c:valAx>
        <c:axId val="94890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pellet groups/100 plots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4888320"/>
        <c:crosses val="autoZero"/>
        <c:crossBetween val="between"/>
      </c:valAx>
      <c:valAx>
        <c:axId val="869666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deer/mi</a:t>
                </a:r>
                <a:r>
                  <a:rPr lang="en-US" baseline="30000"/>
                  <a:t>2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968576"/>
        <c:crosses val="max"/>
        <c:crossBetween val="between"/>
      </c:valAx>
      <c:catAx>
        <c:axId val="8696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869666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6374337025299229"/>
          <c:y val="5.0285692715379679E-2"/>
          <c:w val="0.20994294150343595"/>
          <c:h val="0.124491086554991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5</xdr:row>
      <xdr:rowOff>28575</xdr:rowOff>
    </xdr:from>
    <xdr:to>
      <xdr:col>23</xdr:col>
      <xdr:colOff>419100</xdr:colOff>
      <xdr:row>37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7"/>
  <sheetViews>
    <sheetView tabSelected="1" workbookViewId="0">
      <pane xSplit="2" ySplit="2" topLeftCell="S53" activePane="bottomRight" state="frozen"/>
      <selection pane="topRight" activeCell="C1" sqref="C1"/>
      <selection pane="bottomLeft" activeCell="A3" sqref="A3"/>
      <selection pane="bottomRight" activeCell="AH61" sqref="AH61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26" width="11.42578125" style="2" customWidth="1"/>
    <col min="27" max="27" width="10.7109375" style="2" customWidth="1"/>
    <col min="28" max="28" width="9.42578125" style="2" customWidth="1"/>
    <col min="29" max="29" width="2.5703125" style="2" customWidth="1"/>
    <col min="30" max="30" width="35.140625" style="2" customWidth="1"/>
    <col min="31" max="31" width="11.42578125" style="2"/>
    <col min="32" max="32" width="12.28515625" style="2" bestFit="1" customWidth="1"/>
    <col min="33" max="16384" width="11.42578125" style="2"/>
  </cols>
  <sheetData>
    <row r="1" spans="1:29" ht="15.75" x14ac:dyDescent="0.25">
      <c r="A1" s="95" t="s">
        <v>107</v>
      </c>
      <c r="B1" s="84"/>
      <c r="C1" s="85" t="s">
        <v>55</v>
      </c>
      <c r="D1" s="85" t="s">
        <v>56</v>
      </c>
      <c r="E1" s="85" t="s">
        <v>57</v>
      </c>
      <c r="F1" s="85" t="s">
        <v>61</v>
      </c>
      <c r="G1" s="85" t="s">
        <v>62</v>
      </c>
      <c r="H1" s="85" t="s">
        <v>63</v>
      </c>
      <c r="I1" s="85" t="s">
        <v>64</v>
      </c>
      <c r="J1" s="85" t="s">
        <v>65</v>
      </c>
      <c r="K1" s="85" t="s">
        <v>66</v>
      </c>
      <c r="L1" s="85" t="s">
        <v>67</v>
      </c>
      <c r="M1" s="85" t="s">
        <v>68</v>
      </c>
      <c r="N1" s="85" t="s">
        <v>84</v>
      </c>
      <c r="O1" s="85" t="s">
        <v>108</v>
      </c>
      <c r="P1" s="85" t="s">
        <v>109</v>
      </c>
      <c r="Q1" s="85" t="s">
        <v>19</v>
      </c>
      <c r="R1" s="85" t="s">
        <v>20</v>
      </c>
      <c r="S1" s="85" t="s">
        <v>21</v>
      </c>
      <c r="T1" s="85" t="s">
        <v>71</v>
      </c>
      <c r="U1" s="85" t="s">
        <v>72</v>
      </c>
      <c r="V1" s="85" t="s">
        <v>79</v>
      </c>
      <c r="W1" s="85" t="s">
        <v>80</v>
      </c>
      <c r="X1" s="85" t="s">
        <v>81</v>
      </c>
      <c r="Y1" s="85" t="s">
        <v>82</v>
      </c>
      <c r="Z1" s="85" t="s">
        <v>83</v>
      </c>
      <c r="AA1" s="1"/>
      <c r="AB1" s="1"/>
      <c r="AC1" s="1"/>
    </row>
    <row r="2" spans="1:29" s="132" customFormat="1" ht="15" x14ac:dyDescent="0.25">
      <c r="A2" s="181">
        <v>2016</v>
      </c>
      <c r="B2" s="182" t="s">
        <v>13</v>
      </c>
      <c r="C2" s="139">
        <v>43201</v>
      </c>
      <c r="D2" s="139">
        <v>43201</v>
      </c>
      <c r="E2" s="139">
        <v>43201</v>
      </c>
      <c r="F2" s="139">
        <v>43203</v>
      </c>
      <c r="G2" s="139">
        <v>43200</v>
      </c>
      <c r="H2" s="139">
        <v>43200</v>
      </c>
      <c r="I2" s="139">
        <v>43200</v>
      </c>
      <c r="J2" s="139">
        <v>43201</v>
      </c>
      <c r="K2" s="139">
        <v>43201</v>
      </c>
      <c r="L2" s="139">
        <v>43201</v>
      </c>
      <c r="M2" s="139">
        <v>43200</v>
      </c>
      <c r="N2" s="139">
        <v>43200</v>
      </c>
      <c r="O2" s="139">
        <v>43200</v>
      </c>
      <c r="P2" s="139">
        <v>43200</v>
      </c>
      <c r="Q2" s="139">
        <v>43201</v>
      </c>
      <c r="R2" s="139">
        <v>43202</v>
      </c>
      <c r="S2" s="139">
        <v>43202</v>
      </c>
      <c r="T2" s="139">
        <v>43202</v>
      </c>
      <c r="U2" s="139">
        <v>43202</v>
      </c>
      <c r="V2" s="139">
        <v>43203</v>
      </c>
      <c r="W2" s="139">
        <v>43202</v>
      </c>
      <c r="X2" s="139">
        <v>43202</v>
      </c>
      <c r="Y2" s="139">
        <v>43202</v>
      </c>
      <c r="Z2" s="139">
        <v>43202</v>
      </c>
    </row>
    <row r="3" spans="1:29" ht="15" x14ac:dyDescent="0.25">
      <c r="B3" s="97">
        <v>1</v>
      </c>
      <c r="C3" s="4">
        <v>0</v>
      </c>
      <c r="D3" s="4">
        <v>1</v>
      </c>
      <c r="E3" s="4">
        <v>1</v>
      </c>
      <c r="F3" s="4">
        <v>0</v>
      </c>
      <c r="G3" s="4">
        <v>1</v>
      </c>
      <c r="H3" s="4">
        <v>0</v>
      </c>
      <c r="I3" s="4">
        <v>1</v>
      </c>
      <c r="J3" s="4">
        <v>0</v>
      </c>
      <c r="K3" s="4">
        <v>2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1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1"/>
    </row>
    <row r="4" spans="1:29" ht="15" x14ac:dyDescent="0.25">
      <c r="B4" s="97">
        <f>1+B3</f>
        <v>2</v>
      </c>
      <c r="C4" s="4">
        <v>0</v>
      </c>
      <c r="D4" s="4">
        <v>1</v>
      </c>
      <c r="E4" s="4">
        <v>1</v>
      </c>
      <c r="F4" s="4">
        <v>0</v>
      </c>
      <c r="G4" s="4">
        <v>0</v>
      </c>
      <c r="H4" s="4">
        <v>2</v>
      </c>
      <c r="I4" s="4">
        <v>1</v>
      </c>
      <c r="J4" s="4">
        <v>0</v>
      </c>
      <c r="K4" s="4">
        <v>2</v>
      </c>
      <c r="L4" s="4">
        <v>0</v>
      </c>
      <c r="M4" s="4">
        <v>0</v>
      </c>
      <c r="N4" s="4">
        <v>2</v>
      </c>
      <c r="O4" s="4">
        <v>1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0</v>
      </c>
      <c r="AA4" s="1"/>
    </row>
    <row r="5" spans="1:29" ht="15" x14ac:dyDescent="0.25">
      <c r="B5" s="97">
        <f t="shared" ref="B5:B58" si="0">1+B4</f>
        <v>3</v>
      </c>
      <c r="C5" s="4">
        <v>2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1</v>
      </c>
      <c r="K5" s="4">
        <v>1</v>
      </c>
      <c r="L5" s="4">
        <v>3</v>
      </c>
      <c r="M5" s="4">
        <v>0</v>
      </c>
      <c r="N5" s="4">
        <v>1</v>
      </c>
      <c r="O5" s="4">
        <v>2</v>
      </c>
      <c r="P5" s="4">
        <v>1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1</v>
      </c>
      <c r="AA5" s="1"/>
    </row>
    <row r="6" spans="1:29" ht="15" x14ac:dyDescent="0.25">
      <c r="B6" s="97">
        <f t="shared" si="0"/>
        <v>4</v>
      </c>
      <c r="C6" s="4">
        <v>1</v>
      </c>
      <c r="D6" s="4">
        <v>0</v>
      </c>
      <c r="E6" s="4">
        <v>0</v>
      </c>
      <c r="F6" s="4">
        <v>1</v>
      </c>
      <c r="G6" s="4">
        <v>2</v>
      </c>
      <c r="H6" s="4">
        <v>2</v>
      </c>
      <c r="I6" s="4">
        <v>0</v>
      </c>
      <c r="J6" s="4">
        <v>1</v>
      </c>
      <c r="K6" s="4">
        <v>1</v>
      </c>
      <c r="L6" s="4">
        <v>1</v>
      </c>
      <c r="M6" s="4">
        <v>1</v>
      </c>
      <c r="N6" s="4">
        <v>0</v>
      </c>
      <c r="O6" s="4">
        <v>1</v>
      </c>
      <c r="P6" s="4">
        <v>1</v>
      </c>
      <c r="Q6" s="4">
        <v>0</v>
      </c>
      <c r="R6" s="4">
        <v>1</v>
      </c>
      <c r="S6" s="4">
        <v>0</v>
      </c>
      <c r="T6" s="4">
        <v>0</v>
      </c>
      <c r="U6" s="4">
        <v>1</v>
      </c>
      <c r="V6" s="4">
        <v>2</v>
      </c>
      <c r="W6" s="4">
        <v>0</v>
      </c>
      <c r="X6" s="4">
        <v>0</v>
      </c>
      <c r="Y6" s="4">
        <v>0</v>
      </c>
      <c r="Z6" s="4">
        <v>0</v>
      </c>
      <c r="AA6" s="1"/>
    </row>
    <row r="7" spans="1:29" ht="15" x14ac:dyDescent="0.25">
      <c r="B7" s="97">
        <f t="shared" si="0"/>
        <v>5</v>
      </c>
      <c r="C7" s="4">
        <v>1</v>
      </c>
      <c r="D7" s="4">
        <v>1</v>
      </c>
      <c r="E7" s="4">
        <v>2</v>
      </c>
      <c r="F7" s="4">
        <v>1</v>
      </c>
      <c r="G7" s="4">
        <v>1</v>
      </c>
      <c r="H7" s="4">
        <v>3</v>
      </c>
      <c r="I7" s="4">
        <v>0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1"/>
    </row>
    <row r="8" spans="1:29" ht="15" x14ac:dyDescent="0.25">
      <c r="B8" s="97">
        <f t="shared" si="0"/>
        <v>6</v>
      </c>
      <c r="C8" s="4">
        <v>0</v>
      </c>
      <c r="D8" s="4">
        <v>0</v>
      </c>
      <c r="E8" s="4">
        <v>8</v>
      </c>
      <c r="F8" s="4">
        <v>0</v>
      </c>
      <c r="G8" s="4">
        <v>0</v>
      </c>
      <c r="H8" s="4">
        <v>1</v>
      </c>
      <c r="I8" s="4">
        <v>2</v>
      </c>
      <c r="J8" s="4">
        <v>0</v>
      </c>
      <c r="K8" s="4">
        <v>1</v>
      </c>
      <c r="L8" s="4">
        <v>0</v>
      </c>
      <c r="M8" s="4">
        <v>0</v>
      </c>
      <c r="N8" s="4">
        <v>3</v>
      </c>
      <c r="O8" s="4">
        <v>2</v>
      </c>
      <c r="P8" s="4">
        <v>3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1"/>
    </row>
    <row r="9" spans="1:29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0</v>
      </c>
      <c r="G9" s="4">
        <v>2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1"/>
    </row>
    <row r="10" spans="1:29" ht="15" x14ac:dyDescent="0.25">
      <c r="B10" s="97">
        <f t="shared" si="0"/>
        <v>8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1</v>
      </c>
      <c r="N10" s="4">
        <v>2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1"/>
    </row>
    <row r="11" spans="1:29" ht="15" x14ac:dyDescent="0.25">
      <c r="B11" s="97">
        <f t="shared" si="0"/>
        <v>9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3</v>
      </c>
      <c r="N11" s="4">
        <v>0</v>
      </c>
      <c r="O11" s="4">
        <v>0</v>
      </c>
      <c r="P11" s="4"/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1"/>
    </row>
    <row r="12" spans="1:29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/>
      <c r="P12" s="4"/>
      <c r="Q12" s="4">
        <v>0</v>
      </c>
      <c r="R12" s="4">
        <v>0</v>
      </c>
      <c r="S12" s="4">
        <v>1</v>
      </c>
      <c r="T12" s="4">
        <v>0</v>
      </c>
      <c r="U12" s="4">
        <v>4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1"/>
    </row>
    <row r="13" spans="1:29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2</v>
      </c>
      <c r="I13" s="4"/>
      <c r="J13" s="4">
        <v>4</v>
      </c>
      <c r="K13" s="4">
        <v>0</v>
      </c>
      <c r="L13" s="4">
        <v>0</v>
      </c>
      <c r="M13" s="4">
        <v>0</v>
      </c>
      <c r="N13" s="4">
        <v>3</v>
      </c>
      <c r="O13" s="4"/>
      <c r="P13" s="4"/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1"/>
    </row>
    <row r="14" spans="1:29" ht="15" x14ac:dyDescent="0.25">
      <c r="B14" s="97">
        <f t="shared" si="0"/>
        <v>12</v>
      </c>
      <c r="C14" s="4">
        <v>0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4"/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4"/>
      <c r="P14" s="4"/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1"/>
    </row>
    <row r="15" spans="1:29" ht="15" x14ac:dyDescent="0.25">
      <c r="B15" s="97">
        <f t="shared" si="0"/>
        <v>13</v>
      </c>
      <c r="C15" s="4">
        <v>0</v>
      </c>
      <c r="D15" s="4">
        <v>0</v>
      </c>
      <c r="E15" s="4">
        <v>0</v>
      </c>
      <c r="F15" s="4">
        <v>1</v>
      </c>
      <c r="G15" s="4">
        <v>0</v>
      </c>
      <c r="H15" s="4">
        <v>0</v>
      </c>
      <c r="I15" s="4"/>
      <c r="J15" s="4"/>
      <c r="K15" s="4">
        <v>0</v>
      </c>
      <c r="L15" s="4">
        <v>0</v>
      </c>
      <c r="M15" s="4">
        <v>2</v>
      </c>
      <c r="N15" s="4">
        <v>0</v>
      </c>
      <c r="O15" s="4"/>
      <c r="P15" s="4"/>
      <c r="Q15" s="4">
        <v>0</v>
      </c>
      <c r="R15" s="4">
        <v>0</v>
      </c>
      <c r="S15" s="4">
        <v>1</v>
      </c>
      <c r="T15" s="4">
        <v>0</v>
      </c>
      <c r="U15" s="4">
        <v>1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1"/>
    </row>
    <row r="16" spans="1:29" ht="15" x14ac:dyDescent="0.25">
      <c r="B16" s="97">
        <f t="shared" si="0"/>
        <v>14</v>
      </c>
      <c r="C16" s="4">
        <v>0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/>
      <c r="J16" s="4"/>
      <c r="K16" s="4">
        <v>3</v>
      </c>
      <c r="L16" s="4">
        <v>1</v>
      </c>
      <c r="M16" s="4">
        <v>0</v>
      </c>
      <c r="N16" s="4">
        <v>0</v>
      </c>
      <c r="O16" s="4"/>
      <c r="P16" s="4"/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1"/>
    </row>
    <row r="17" spans="2:27" ht="15" x14ac:dyDescent="0.25">
      <c r="B17" s="97">
        <f t="shared" si="0"/>
        <v>15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4">
        <v>1</v>
      </c>
      <c r="I17" s="4"/>
      <c r="J17" s="4"/>
      <c r="K17" s="4">
        <v>0</v>
      </c>
      <c r="L17" s="4">
        <v>2</v>
      </c>
      <c r="M17" s="4">
        <v>0</v>
      </c>
      <c r="N17" s="4">
        <v>1</v>
      </c>
      <c r="O17" s="4"/>
      <c r="P17" s="4"/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1"/>
    </row>
    <row r="18" spans="2:27" ht="15" x14ac:dyDescent="0.25">
      <c r="B18" s="97">
        <f t="shared" si="0"/>
        <v>16</v>
      </c>
      <c r="C18" s="4">
        <v>1</v>
      </c>
      <c r="D18" s="4">
        <v>1</v>
      </c>
      <c r="E18" s="4">
        <v>2</v>
      </c>
      <c r="F18" s="4">
        <v>2</v>
      </c>
      <c r="G18" s="4">
        <v>0</v>
      </c>
      <c r="H18" s="4">
        <v>0</v>
      </c>
      <c r="I18" s="4"/>
      <c r="J18" s="4"/>
      <c r="K18" s="4">
        <v>4</v>
      </c>
      <c r="L18" s="4">
        <v>1</v>
      </c>
      <c r="M18" s="4">
        <v>1</v>
      </c>
      <c r="N18" s="4">
        <v>0</v>
      </c>
      <c r="O18" s="4"/>
      <c r="P18" s="4"/>
      <c r="Q18" s="4">
        <v>0</v>
      </c>
      <c r="R18" s="4">
        <v>1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1"/>
    </row>
    <row r="19" spans="2:27" ht="15" x14ac:dyDescent="0.25">
      <c r="B19" s="97">
        <f t="shared" si="0"/>
        <v>17</v>
      </c>
      <c r="C19" s="4">
        <v>1</v>
      </c>
      <c r="D19" s="4">
        <v>1</v>
      </c>
      <c r="E19" s="4">
        <v>1</v>
      </c>
      <c r="F19" s="4">
        <v>1</v>
      </c>
      <c r="G19" s="4">
        <v>2</v>
      </c>
      <c r="H19" s="4">
        <v>0</v>
      </c>
      <c r="I19" s="4"/>
      <c r="J19" s="4"/>
      <c r="K19" s="4">
        <v>5</v>
      </c>
      <c r="L19" s="4">
        <v>4</v>
      </c>
      <c r="M19" s="4">
        <v>0</v>
      </c>
      <c r="N19" s="4">
        <v>0</v>
      </c>
      <c r="O19" s="4"/>
      <c r="P19" s="4"/>
      <c r="Q19" s="4">
        <v>0</v>
      </c>
      <c r="R19" s="4">
        <v>0</v>
      </c>
      <c r="S19" s="4"/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1"/>
    </row>
    <row r="20" spans="2:27" ht="15" x14ac:dyDescent="0.25">
      <c r="B20" s="97">
        <f t="shared" si="0"/>
        <v>18</v>
      </c>
      <c r="C20" s="4">
        <v>0</v>
      </c>
      <c r="D20" s="4">
        <v>0</v>
      </c>
      <c r="E20" s="4">
        <v>1</v>
      </c>
      <c r="F20" s="4">
        <v>0</v>
      </c>
      <c r="G20" s="4"/>
      <c r="H20" s="4">
        <v>1</v>
      </c>
      <c r="I20" s="4"/>
      <c r="J20" s="4"/>
      <c r="K20" s="4">
        <v>0</v>
      </c>
      <c r="L20" s="4">
        <v>2</v>
      </c>
      <c r="M20" s="4">
        <v>0</v>
      </c>
      <c r="N20" s="4">
        <v>0</v>
      </c>
      <c r="O20" s="4"/>
      <c r="P20" s="4"/>
      <c r="Q20" s="4">
        <v>0</v>
      </c>
      <c r="R20" s="4">
        <v>0</v>
      </c>
      <c r="S20" s="4"/>
      <c r="T20" s="4">
        <v>0</v>
      </c>
      <c r="U20" s="4"/>
      <c r="V20" s="4">
        <v>1</v>
      </c>
      <c r="W20" s="4">
        <v>1</v>
      </c>
      <c r="X20" s="4">
        <v>0</v>
      </c>
      <c r="Y20" s="4">
        <v>0</v>
      </c>
      <c r="Z20" s="4">
        <v>0</v>
      </c>
      <c r="AA20" s="1"/>
    </row>
    <row r="21" spans="2:27" ht="15" x14ac:dyDescent="0.25">
      <c r="B21" s="97">
        <f t="shared" si="0"/>
        <v>19</v>
      </c>
      <c r="C21" s="4">
        <v>0</v>
      </c>
      <c r="D21" s="4">
        <v>0</v>
      </c>
      <c r="E21" s="4"/>
      <c r="F21" s="4">
        <v>0</v>
      </c>
      <c r="G21" s="4"/>
      <c r="H21" s="4">
        <v>0</v>
      </c>
      <c r="I21" s="4"/>
      <c r="J21" s="4"/>
      <c r="K21" s="4">
        <v>0</v>
      </c>
      <c r="L21" s="4">
        <v>1</v>
      </c>
      <c r="M21" s="4">
        <v>0</v>
      </c>
      <c r="N21" s="4">
        <v>1</v>
      </c>
      <c r="O21" s="4"/>
      <c r="P21" s="4"/>
      <c r="Q21" s="4">
        <v>0</v>
      </c>
      <c r="R21" s="4">
        <v>0</v>
      </c>
      <c r="S21" s="4"/>
      <c r="T21" s="4">
        <v>0</v>
      </c>
      <c r="U21" s="4"/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1"/>
    </row>
    <row r="22" spans="2:27" ht="15" x14ac:dyDescent="0.25">
      <c r="B22" s="97">
        <f t="shared" si="0"/>
        <v>20</v>
      </c>
      <c r="C22" s="4">
        <v>1</v>
      </c>
      <c r="D22" s="4">
        <v>0</v>
      </c>
      <c r="E22" s="4"/>
      <c r="F22" s="4">
        <v>0</v>
      </c>
      <c r="G22" s="4"/>
      <c r="H22" s="4">
        <v>0</v>
      </c>
      <c r="I22" s="4"/>
      <c r="J22" s="4"/>
      <c r="K22" s="4"/>
      <c r="L22" s="4">
        <v>0</v>
      </c>
      <c r="M22" s="4">
        <v>0</v>
      </c>
      <c r="N22" s="4">
        <v>0</v>
      </c>
      <c r="O22" s="4"/>
      <c r="P22" s="4"/>
      <c r="Q22" s="4">
        <v>0</v>
      </c>
      <c r="R22" s="4">
        <v>2</v>
      </c>
      <c r="S22" s="4"/>
      <c r="T22" s="4">
        <v>0</v>
      </c>
      <c r="U22" s="4"/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1"/>
    </row>
    <row r="23" spans="2:27" ht="15" x14ac:dyDescent="0.25">
      <c r="B23" s="97">
        <f t="shared" si="0"/>
        <v>21</v>
      </c>
      <c r="C23" s="4">
        <v>0</v>
      </c>
      <c r="D23" s="4"/>
      <c r="E23" s="4"/>
      <c r="F23" s="4">
        <v>0</v>
      </c>
      <c r="G23" s="4"/>
      <c r="H23" s="4">
        <v>1</v>
      </c>
      <c r="I23" s="4"/>
      <c r="J23" s="4"/>
      <c r="K23" s="4"/>
      <c r="L23" s="4">
        <v>1</v>
      </c>
      <c r="M23" s="4">
        <v>0</v>
      </c>
      <c r="N23" s="4">
        <v>0</v>
      </c>
      <c r="O23" s="4"/>
      <c r="P23" s="4"/>
      <c r="Q23" s="4">
        <v>0</v>
      </c>
      <c r="R23" s="4">
        <v>1</v>
      </c>
      <c r="S23" s="4"/>
      <c r="T23" s="4"/>
      <c r="U23" s="4"/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"/>
    </row>
    <row r="24" spans="2:27" ht="15" x14ac:dyDescent="0.25">
      <c r="B24" s="97">
        <f t="shared" si="0"/>
        <v>22</v>
      </c>
      <c r="C24" s="4">
        <v>0</v>
      </c>
      <c r="D24" s="4"/>
      <c r="E24" s="4"/>
      <c r="F24" s="4"/>
      <c r="G24" s="4"/>
      <c r="H24" s="4">
        <v>0</v>
      </c>
      <c r="I24" s="4"/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>
        <v>0</v>
      </c>
      <c r="R24" s="4">
        <v>0</v>
      </c>
      <c r="S24" s="4"/>
      <c r="T24" s="4"/>
      <c r="U24" s="4"/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1"/>
    </row>
    <row r="25" spans="2:27" ht="15" x14ac:dyDescent="0.25">
      <c r="B25" s="97">
        <f t="shared" si="0"/>
        <v>23</v>
      </c>
      <c r="C25" s="4">
        <v>1</v>
      </c>
      <c r="D25" s="4"/>
      <c r="E25" s="4"/>
      <c r="F25" s="4"/>
      <c r="G25" s="4"/>
      <c r="H25" s="4">
        <v>1</v>
      </c>
      <c r="I25" s="4"/>
      <c r="J25" s="4"/>
      <c r="K25" s="4"/>
      <c r="L25" s="4">
        <v>0</v>
      </c>
      <c r="M25" s="4">
        <v>2</v>
      </c>
      <c r="N25" s="4">
        <v>0</v>
      </c>
      <c r="O25" s="4"/>
      <c r="P25" s="4"/>
      <c r="Q25" s="4">
        <v>0</v>
      </c>
      <c r="R25" s="4">
        <v>4</v>
      </c>
      <c r="S25" s="4"/>
      <c r="T25" s="4"/>
      <c r="U25" s="4"/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1"/>
    </row>
    <row r="26" spans="2:27" ht="15" x14ac:dyDescent="0.25">
      <c r="B26" s="97">
        <f t="shared" si="0"/>
        <v>24</v>
      </c>
      <c r="C26" s="4">
        <v>0</v>
      </c>
      <c r="D26" s="4"/>
      <c r="E26" s="4"/>
      <c r="F26" s="4"/>
      <c r="G26" s="4"/>
      <c r="H26" s="4"/>
      <c r="I26" s="4"/>
      <c r="J26" s="4"/>
      <c r="K26" s="4"/>
      <c r="L26" s="4">
        <v>0</v>
      </c>
      <c r="M26" s="4">
        <v>2</v>
      </c>
      <c r="N26" s="4">
        <v>0</v>
      </c>
      <c r="O26" s="4"/>
      <c r="P26" s="4"/>
      <c r="Q26" s="4">
        <v>0</v>
      </c>
      <c r="R26" s="4">
        <v>1</v>
      </c>
      <c r="S26" s="4"/>
      <c r="T26" s="4"/>
      <c r="U26" s="4"/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1"/>
    </row>
    <row r="27" spans="2:27" ht="15" x14ac:dyDescent="0.25">
      <c r="B27" s="97">
        <v>25</v>
      </c>
      <c r="C27" s="4">
        <v>1</v>
      </c>
      <c r="D27" s="4"/>
      <c r="E27" s="4"/>
      <c r="F27" s="4"/>
      <c r="G27" s="4"/>
      <c r="H27" s="4"/>
      <c r="I27" s="4"/>
      <c r="J27" s="4"/>
      <c r="K27" s="4"/>
      <c r="L27" s="4"/>
      <c r="M27" s="4">
        <v>2</v>
      </c>
      <c r="N27" s="4">
        <v>0</v>
      </c>
      <c r="O27" s="4"/>
      <c r="P27" s="4"/>
      <c r="Q27" s="4">
        <v>0</v>
      </c>
      <c r="R27" s="4">
        <v>0</v>
      </c>
      <c r="S27" s="4"/>
      <c r="T27" s="4"/>
      <c r="U27" s="4"/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"/>
    </row>
    <row r="28" spans="2:27" ht="15" x14ac:dyDescent="0.25">
      <c r="B28" s="97">
        <v>26</v>
      </c>
      <c r="C28" s="4">
        <v>0</v>
      </c>
      <c r="D28" s="4"/>
      <c r="E28" s="4"/>
      <c r="F28" s="4"/>
      <c r="G28" s="4"/>
      <c r="H28" s="4"/>
      <c r="I28" s="4"/>
      <c r="J28" s="4"/>
      <c r="K28" s="4"/>
      <c r="L28" s="4"/>
      <c r="M28" s="4">
        <v>3</v>
      </c>
      <c r="N28" s="4">
        <v>0</v>
      </c>
      <c r="O28" s="4"/>
      <c r="P28" s="4"/>
      <c r="Q28" s="4">
        <v>0</v>
      </c>
      <c r="R28" s="4">
        <v>0</v>
      </c>
      <c r="S28" s="4"/>
      <c r="T28" s="4"/>
      <c r="U28" s="4"/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"/>
    </row>
    <row r="29" spans="2:27" ht="15" x14ac:dyDescent="0.25">
      <c r="B29" s="97">
        <v>27</v>
      </c>
      <c r="C29" s="4">
        <v>0</v>
      </c>
      <c r="D29" s="4"/>
      <c r="E29" s="4"/>
      <c r="F29" s="4"/>
      <c r="G29" s="4"/>
      <c r="H29" s="4"/>
      <c r="I29" s="4"/>
      <c r="J29" s="4"/>
      <c r="K29" s="4"/>
      <c r="L29" s="4"/>
      <c r="M29" s="4">
        <v>0</v>
      </c>
      <c r="N29" s="4">
        <v>0</v>
      </c>
      <c r="O29" s="4"/>
      <c r="P29" s="4"/>
      <c r="Q29" s="4">
        <v>0</v>
      </c>
      <c r="R29" s="4">
        <v>0</v>
      </c>
      <c r="S29" s="4"/>
      <c r="T29" s="4"/>
      <c r="U29" s="4"/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1"/>
    </row>
    <row r="30" spans="2:27" ht="15" x14ac:dyDescent="0.25">
      <c r="B30" s="97">
        <v>28</v>
      </c>
      <c r="C30" s="4">
        <v>0</v>
      </c>
      <c r="D30" s="4"/>
      <c r="E30" s="4"/>
      <c r="F30" s="4"/>
      <c r="G30" s="4"/>
      <c r="H30" s="4"/>
      <c r="I30" s="4"/>
      <c r="J30" s="4"/>
      <c r="K30" s="4"/>
      <c r="L30" s="4"/>
      <c r="M30" s="4">
        <v>6</v>
      </c>
      <c r="N30" s="4">
        <v>0</v>
      </c>
      <c r="O30" s="4"/>
      <c r="P30" s="4"/>
      <c r="Q30" s="4">
        <v>0</v>
      </c>
      <c r="R30" s="4">
        <v>0</v>
      </c>
      <c r="S30" s="4"/>
      <c r="T30" s="4"/>
      <c r="U30" s="4"/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1"/>
    </row>
    <row r="31" spans="2:27" ht="15" x14ac:dyDescent="0.25">
      <c r="B31" s="97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0</v>
      </c>
      <c r="N31" s="4">
        <v>0</v>
      </c>
      <c r="O31" s="4"/>
      <c r="P31" s="4"/>
      <c r="Q31" s="4">
        <v>0</v>
      </c>
      <c r="R31" s="4">
        <v>0</v>
      </c>
      <c r="S31" s="4"/>
      <c r="T31" s="4"/>
      <c r="U31" s="4"/>
      <c r="V31" s="4">
        <v>0</v>
      </c>
      <c r="W31" s="4">
        <v>0</v>
      </c>
      <c r="X31" s="4"/>
      <c r="Y31" s="4"/>
      <c r="Z31" s="4">
        <v>0</v>
      </c>
      <c r="AA31" s="1"/>
    </row>
    <row r="32" spans="2:27" ht="15" x14ac:dyDescent="0.25">
      <c r="B32" s="97">
        <v>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v>2</v>
      </c>
      <c r="N32" s="4">
        <v>0</v>
      </c>
      <c r="O32" s="4"/>
      <c r="P32" s="4"/>
      <c r="Q32" s="4">
        <v>0</v>
      </c>
      <c r="R32" s="4">
        <v>1</v>
      </c>
      <c r="S32" s="4"/>
      <c r="T32" s="4"/>
      <c r="U32" s="4"/>
      <c r="V32" s="4">
        <v>0</v>
      </c>
      <c r="W32" s="4">
        <v>0</v>
      </c>
      <c r="X32" s="4"/>
      <c r="Y32" s="4"/>
      <c r="Z32" s="4">
        <v>0</v>
      </c>
      <c r="AA32" s="1"/>
    </row>
    <row r="33" spans="2:27" ht="15" x14ac:dyDescent="0.25">
      <c r="B33" s="97">
        <v>31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0</v>
      </c>
      <c r="O33" s="4"/>
      <c r="P33" s="4"/>
      <c r="Q33" s="4">
        <v>0</v>
      </c>
      <c r="R33" s="4">
        <v>0</v>
      </c>
      <c r="S33" s="4"/>
      <c r="T33" s="4"/>
      <c r="U33" s="4"/>
      <c r="V33" s="4">
        <v>0</v>
      </c>
      <c r="W33" s="4">
        <v>0</v>
      </c>
      <c r="X33" s="4"/>
      <c r="Y33" s="4"/>
      <c r="Z33" s="4">
        <v>0</v>
      </c>
      <c r="AA33" s="1"/>
    </row>
    <row r="34" spans="2:27" ht="15" x14ac:dyDescent="0.25">
      <c r="B34" s="97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0</v>
      </c>
      <c r="O34" s="4"/>
      <c r="P34" s="4"/>
      <c r="Q34" s="4">
        <v>0</v>
      </c>
      <c r="R34" s="4">
        <v>1</v>
      </c>
      <c r="S34" s="4"/>
      <c r="T34" s="4"/>
      <c r="U34" s="4"/>
      <c r="V34" s="4">
        <v>0</v>
      </c>
      <c r="W34" s="4"/>
      <c r="X34" s="4"/>
      <c r="Y34" s="4"/>
      <c r="Z34" s="4">
        <v>0</v>
      </c>
      <c r="AA34" s="1"/>
    </row>
    <row r="35" spans="2:27" ht="15" x14ac:dyDescent="0.25">
      <c r="B35" s="97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0</v>
      </c>
      <c r="R35" s="4">
        <v>0</v>
      </c>
      <c r="S35" s="4"/>
      <c r="T35" s="4"/>
      <c r="U35" s="4"/>
      <c r="V35" s="4">
        <v>1</v>
      </c>
      <c r="W35" s="4"/>
      <c r="X35" s="4"/>
      <c r="Y35" s="4"/>
      <c r="Z35" s="4">
        <v>0</v>
      </c>
      <c r="AA35" s="1"/>
    </row>
    <row r="36" spans="2:27" ht="15" x14ac:dyDescent="0.25">
      <c r="B36" s="97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0</v>
      </c>
      <c r="S36" s="4"/>
      <c r="T36" s="4"/>
      <c r="U36" s="4"/>
      <c r="V36" s="4">
        <v>0</v>
      </c>
      <c r="W36" s="4"/>
      <c r="X36" s="4"/>
      <c r="Y36" s="4"/>
      <c r="Z36" s="4">
        <v>0</v>
      </c>
      <c r="AA36" s="1"/>
    </row>
    <row r="37" spans="2:27" ht="15" x14ac:dyDescent="0.25">
      <c r="B37" s="97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0</v>
      </c>
      <c r="S37" s="4"/>
      <c r="T37" s="4"/>
      <c r="U37" s="4"/>
      <c r="V37" s="4">
        <v>0</v>
      </c>
      <c r="W37" s="4"/>
      <c r="X37" s="4"/>
      <c r="Y37" s="4"/>
      <c r="Z37" s="4">
        <v>0</v>
      </c>
      <c r="AA37" s="1"/>
    </row>
    <row r="38" spans="2:27" ht="15" x14ac:dyDescent="0.25">
      <c r="B38" s="97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0</v>
      </c>
      <c r="S38" s="4"/>
      <c r="T38" s="4"/>
      <c r="U38" s="4"/>
      <c r="V38" s="4">
        <v>0</v>
      </c>
      <c r="W38" s="4"/>
      <c r="X38" s="4"/>
      <c r="Y38" s="4"/>
      <c r="Z38" s="4">
        <v>0</v>
      </c>
      <c r="AA38" s="1"/>
    </row>
    <row r="39" spans="2:27" ht="15" x14ac:dyDescent="0.25">
      <c r="B39" s="97">
        <v>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0</v>
      </c>
      <c r="S39" s="4"/>
      <c r="T39" s="4"/>
      <c r="U39" s="4"/>
      <c r="V39" s="4">
        <v>0</v>
      </c>
      <c r="W39" s="4"/>
      <c r="X39" s="4"/>
      <c r="Y39" s="4"/>
      <c r="Z39" s="4">
        <v>0</v>
      </c>
      <c r="AA39" s="1"/>
    </row>
    <row r="40" spans="2:27" ht="15" x14ac:dyDescent="0.25">
      <c r="B40" s="97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0</v>
      </c>
      <c r="S40" s="4"/>
      <c r="T40" s="4"/>
      <c r="U40" s="4"/>
      <c r="V40" s="4">
        <v>0</v>
      </c>
      <c r="W40" s="4"/>
      <c r="X40" s="4"/>
      <c r="Y40" s="4"/>
      <c r="Z40" s="4">
        <v>0</v>
      </c>
      <c r="AA40" s="1"/>
    </row>
    <row r="41" spans="2:27" ht="15" x14ac:dyDescent="0.25">
      <c r="B41" s="97">
        <f t="shared" si="0"/>
        <v>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0</v>
      </c>
      <c r="S41" s="4"/>
      <c r="T41" s="4"/>
      <c r="U41" s="4"/>
      <c r="V41" s="4">
        <v>0</v>
      </c>
      <c r="W41" s="4"/>
      <c r="X41" s="4"/>
      <c r="Y41" s="4"/>
      <c r="Z41" s="4">
        <v>0</v>
      </c>
      <c r="AA41" s="1"/>
    </row>
    <row r="42" spans="2:27" ht="15" x14ac:dyDescent="0.25">
      <c r="B42" s="97">
        <f t="shared" si="0"/>
        <v>40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0</v>
      </c>
      <c r="S42" s="4"/>
      <c r="T42" s="4"/>
      <c r="U42" s="4"/>
      <c r="V42" s="4">
        <v>0</v>
      </c>
      <c r="W42" s="4"/>
      <c r="X42" s="4"/>
      <c r="Y42" s="4"/>
      <c r="Z42" s="4"/>
      <c r="AA42" s="1"/>
    </row>
    <row r="43" spans="2:27" ht="15" x14ac:dyDescent="0.25">
      <c r="B43" s="97">
        <f t="shared" si="0"/>
        <v>41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0</v>
      </c>
      <c r="S43" s="4"/>
      <c r="T43" s="4"/>
      <c r="U43" s="4"/>
      <c r="V43" s="4">
        <v>0</v>
      </c>
      <c r="W43" s="4"/>
      <c r="X43" s="4"/>
      <c r="Y43" s="4"/>
      <c r="Z43" s="4"/>
      <c r="AA43" s="1"/>
    </row>
    <row r="44" spans="2:27" ht="15" x14ac:dyDescent="0.25">
      <c r="B44" s="97">
        <f t="shared" si="0"/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0</v>
      </c>
      <c r="S44" s="4"/>
      <c r="T44" s="4"/>
      <c r="U44" s="4"/>
      <c r="V44" s="4">
        <v>0</v>
      </c>
      <c r="W44" s="4"/>
      <c r="X44" s="4"/>
      <c r="Y44" s="4"/>
      <c r="Z44" s="4"/>
      <c r="AA44" s="1"/>
    </row>
    <row r="45" spans="2:27" ht="15" x14ac:dyDescent="0.25">
      <c r="B45" s="97">
        <v>43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1</v>
      </c>
      <c r="S45" s="4"/>
      <c r="T45" s="4"/>
      <c r="U45" s="4"/>
      <c r="V45" s="4">
        <v>0</v>
      </c>
      <c r="W45" s="4"/>
      <c r="X45" s="4"/>
      <c r="Y45" s="4"/>
      <c r="Z45" s="4"/>
      <c r="AA45" s="1"/>
    </row>
    <row r="46" spans="2:27" ht="15" x14ac:dyDescent="0.25">
      <c r="B46" s="97">
        <v>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0</v>
      </c>
      <c r="S46" s="4"/>
      <c r="T46" s="4"/>
      <c r="U46" s="4"/>
      <c r="V46" s="4">
        <v>0</v>
      </c>
      <c r="W46" s="4"/>
      <c r="X46" s="4"/>
      <c r="Y46" s="4"/>
      <c r="Z46" s="4"/>
      <c r="AA46" s="1"/>
    </row>
    <row r="47" spans="2:27" ht="15" x14ac:dyDescent="0.25">
      <c r="B47" s="97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4</v>
      </c>
      <c r="S47" s="4"/>
      <c r="T47" s="4"/>
      <c r="U47" s="4"/>
      <c r="V47" s="4">
        <v>0</v>
      </c>
      <c r="W47" s="4"/>
      <c r="X47" s="4"/>
      <c r="Y47" s="4"/>
      <c r="Z47" s="4"/>
      <c r="AA47" s="1"/>
    </row>
    <row r="48" spans="2:27" ht="15" x14ac:dyDescent="0.25">
      <c r="B48" s="97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0</v>
      </c>
      <c r="S48" s="4"/>
      <c r="T48" s="4"/>
      <c r="U48" s="4"/>
      <c r="V48" s="4">
        <v>1</v>
      </c>
      <c r="W48" s="4"/>
      <c r="X48" s="4"/>
      <c r="Y48" s="4"/>
      <c r="Z48" s="4"/>
      <c r="AA48" s="1"/>
    </row>
    <row r="49" spans="2:33" ht="15" x14ac:dyDescent="0.25">
      <c r="B49" s="97">
        <v>47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0</v>
      </c>
      <c r="S49" s="4"/>
      <c r="T49" s="4"/>
      <c r="U49" s="4"/>
      <c r="V49" s="4">
        <v>0</v>
      </c>
      <c r="W49" s="4"/>
      <c r="X49" s="4"/>
      <c r="Y49" s="4"/>
      <c r="Z49" s="4"/>
      <c r="AA49" s="1"/>
    </row>
    <row r="50" spans="2:33" ht="15" x14ac:dyDescent="0.25">
      <c r="B50" s="97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1</v>
      </c>
      <c r="S50" s="4"/>
      <c r="T50" s="4"/>
      <c r="U50" s="4"/>
      <c r="V50" s="4">
        <v>0</v>
      </c>
      <c r="W50" s="4"/>
      <c r="X50" s="4"/>
      <c r="Y50" s="4"/>
      <c r="Z50" s="4"/>
      <c r="AA50" s="1"/>
    </row>
    <row r="51" spans="2:33" ht="15" x14ac:dyDescent="0.25">
      <c r="B51" s="97">
        <v>49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0</v>
      </c>
      <c r="W51" s="4"/>
      <c r="X51" s="4"/>
      <c r="Y51" s="4"/>
      <c r="Z51" s="4"/>
      <c r="AA51" s="1"/>
    </row>
    <row r="52" spans="2:33" ht="15" x14ac:dyDescent="0.25">
      <c r="B52" s="97">
        <f t="shared" si="0"/>
        <v>50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0</v>
      </c>
      <c r="W52" s="4"/>
      <c r="X52" s="4"/>
      <c r="Y52" s="4"/>
      <c r="Z52" s="4"/>
      <c r="AA52" s="1"/>
    </row>
    <row r="53" spans="2:33" ht="15" x14ac:dyDescent="0.25">
      <c r="B53" s="97">
        <f t="shared" si="0"/>
        <v>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0</v>
      </c>
      <c r="W53" s="4"/>
      <c r="X53" s="4"/>
      <c r="Y53" s="4"/>
      <c r="Z53" s="4"/>
      <c r="AA53" s="1"/>
    </row>
    <row r="54" spans="2:33" ht="15" x14ac:dyDescent="0.25">
      <c r="B54" s="97">
        <f t="shared" si="0"/>
        <v>52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0</v>
      </c>
      <c r="W54" s="4"/>
      <c r="X54" s="4"/>
      <c r="Y54" s="4"/>
      <c r="Z54" s="4"/>
      <c r="AA54" s="1"/>
    </row>
    <row r="55" spans="2:33" ht="15" x14ac:dyDescent="0.25">
      <c r="B55" s="97">
        <f t="shared" si="0"/>
        <v>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"/>
    </row>
    <row r="56" spans="2:33" ht="15.75" x14ac:dyDescent="0.25">
      <c r="B56" s="97">
        <f t="shared" si="0"/>
        <v>54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"/>
      <c r="AD56" s="28" t="s">
        <v>2</v>
      </c>
      <c r="AE56" s="29"/>
      <c r="AF56" s="29"/>
      <c r="AG56" s="90"/>
    </row>
    <row r="57" spans="2:33" ht="15" x14ac:dyDescent="0.25">
      <c r="B57" s="97">
        <f t="shared" si="0"/>
        <v>55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"/>
      <c r="AD57" s="79" t="s">
        <v>3</v>
      </c>
      <c r="AE57" s="80">
        <f>COUNT(C60:Z60)</f>
        <v>24</v>
      </c>
      <c r="AF57" s="29"/>
      <c r="AG57" s="91"/>
    </row>
    <row r="58" spans="2:33" ht="15" x14ac:dyDescent="0.25">
      <c r="B58" s="97">
        <f t="shared" si="0"/>
        <v>56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"/>
      <c r="AB58" s="1"/>
      <c r="AC58" s="1"/>
      <c r="AD58" s="79" t="s">
        <v>36</v>
      </c>
      <c r="AE58" s="99">
        <f>AA61</f>
        <v>583</v>
      </c>
      <c r="AF58" s="29"/>
      <c r="AG58" s="91"/>
    </row>
    <row r="59" spans="2:33" ht="15" x14ac:dyDescent="0.25">
      <c r="B59" s="97">
        <f>1+B58</f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"/>
      <c r="AC59" s="5"/>
      <c r="AD59" s="79" t="s">
        <v>4</v>
      </c>
      <c r="AE59" s="80">
        <f>SUM(C60:Z60)</f>
        <v>236</v>
      </c>
      <c r="AF59" s="29"/>
      <c r="AG59" s="91"/>
    </row>
    <row r="60" spans="2:33" ht="15" x14ac:dyDescent="0.25">
      <c r="B60" s="92" t="s">
        <v>0</v>
      </c>
      <c r="C60" s="82">
        <f t="shared" ref="C60:Z60" si="1">SUM(C3:C59)</f>
        <v>9</v>
      </c>
      <c r="D60" s="82">
        <f t="shared" si="1"/>
        <v>8</v>
      </c>
      <c r="E60" s="82">
        <f t="shared" si="1"/>
        <v>18</v>
      </c>
      <c r="F60" s="82">
        <f t="shared" si="1"/>
        <v>12</v>
      </c>
      <c r="G60" s="82">
        <f t="shared" si="1"/>
        <v>9</v>
      </c>
      <c r="H60" s="82">
        <f t="shared" si="1"/>
        <v>18</v>
      </c>
      <c r="I60" s="82">
        <f t="shared" si="1"/>
        <v>7</v>
      </c>
      <c r="J60" s="82">
        <f t="shared" si="1"/>
        <v>7</v>
      </c>
      <c r="K60" s="82">
        <f t="shared" si="1"/>
        <v>24</v>
      </c>
      <c r="L60" s="82">
        <f t="shared" si="1"/>
        <v>16</v>
      </c>
      <c r="M60" s="82">
        <f t="shared" si="1"/>
        <v>27</v>
      </c>
      <c r="N60" s="82">
        <f t="shared" si="1"/>
        <v>17</v>
      </c>
      <c r="O60" s="82">
        <f t="shared" si="1"/>
        <v>6</v>
      </c>
      <c r="P60" s="82">
        <f t="shared" si="1"/>
        <v>6</v>
      </c>
      <c r="Q60" s="82">
        <f t="shared" si="1"/>
        <v>2</v>
      </c>
      <c r="R60" s="82">
        <f t="shared" si="1"/>
        <v>18</v>
      </c>
      <c r="S60" s="82">
        <f t="shared" si="1"/>
        <v>4</v>
      </c>
      <c r="T60" s="82">
        <f t="shared" si="1"/>
        <v>3</v>
      </c>
      <c r="U60" s="82">
        <f t="shared" si="1"/>
        <v>12</v>
      </c>
      <c r="V60" s="82">
        <f t="shared" si="1"/>
        <v>5</v>
      </c>
      <c r="W60" s="82">
        <f t="shared" si="1"/>
        <v>4</v>
      </c>
      <c r="X60" s="82">
        <f t="shared" si="1"/>
        <v>0</v>
      </c>
      <c r="Y60" s="82">
        <f t="shared" si="1"/>
        <v>2</v>
      </c>
      <c r="Z60" s="82">
        <f t="shared" si="1"/>
        <v>2</v>
      </c>
      <c r="AA60" s="87">
        <f>SUM(C60:Z60)</f>
        <v>236</v>
      </c>
      <c r="AB60" s="7"/>
      <c r="AC60" s="8"/>
      <c r="AD60" s="79" t="s">
        <v>5</v>
      </c>
      <c r="AE60" s="81">
        <f>AVERAGE(C60:Z60)</f>
        <v>9.8333333333333339</v>
      </c>
      <c r="AF60" s="29"/>
      <c r="AG60" s="91"/>
    </row>
    <row r="61" spans="2:33" ht="15" x14ac:dyDescent="0.25">
      <c r="B61" s="92" t="s">
        <v>31</v>
      </c>
      <c r="C61" s="82">
        <f>COUNT(C3:C59)</f>
        <v>28</v>
      </c>
      <c r="D61" s="82">
        <f t="shared" ref="D61:Z61" si="2">COUNT(D3:D59)</f>
        <v>20</v>
      </c>
      <c r="E61" s="82">
        <f t="shared" si="2"/>
        <v>18</v>
      </c>
      <c r="F61" s="82">
        <f t="shared" si="2"/>
        <v>21</v>
      </c>
      <c r="G61" s="82">
        <f t="shared" si="2"/>
        <v>17</v>
      </c>
      <c r="H61" s="82">
        <f t="shared" si="2"/>
        <v>23</v>
      </c>
      <c r="I61" s="82">
        <f t="shared" si="2"/>
        <v>10</v>
      </c>
      <c r="J61" s="82">
        <f t="shared" si="2"/>
        <v>12</v>
      </c>
      <c r="K61" s="82">
        <f t="shared" si="2"/>
        <v>19</v>
      </c>
      <c r="L61" s="82">
        <f t="shared" si="2"/>
        <v>24</v>
      </c>
      <c r="M61" s="82">
        <f t="shared" si="2"/>
        <v>30</v>
      </c>
      <c r="N61" s="82">
        <f t="shared" si="2"/>
        <v>32</v>
      </c>
      <c r="O61" s="82">
        <f t="shared" si="2"/>
        <v>9</v>
      </c>
      <c r="P61" s="82">
        <f t="shared" si="2"/>
        <v>8</v>
      </c>
      <c r="Q61" s="82">
        <f t="shared" si="2"/>
        <v>33</v>
      </c>
      <c r="R61" s="82">
        <f t="shared" si="2"/>
        <v>48</v>
      </c>
      <c r="S61" s="82">
        <f t="shared" si="2"/>
        <v>16</v>
      </c>
      <c r="T61" s="82">
        <f t="shared" si="2"/>
        <v>20</v>
      </c>
      <c r="U61" s="82">
        <f t="shared" si="2"/>
        <v>17</v>
      </c>
      <c r="V61" s="82">
        <f t="shared" si="2"/>
        <v>52</v>
      </c>
      <c r="W61" s="82">
        <f t="shared" si="2"/>
        <v>31</v>
      </c>
      <c r="X61" s="82">
        <f t="shared" si="2"/>
        <v>28</v>
      </c>
      <c r="Y61" s="82">
        <f t="shared" si="2"/>
        <v>28</v>
      </c>
      <c r="Z61" s="82">
        <f t="shared" si="2"/>
        <v>39</v>
      </c>
      <c r="AA61" s="87">
        <f>SUM(C61:Z61)</f>
        <v>583</v>
      </c>
      <c r="AB61" s="7"/>
      <c r="AC61" s="8"/>
      <c r="AD61" s="79" t="s">
        <v>35</v>
      </c>
      <c r="AE61" s="81">
        <f>AVERAGE(C64:Z64)</f>
        <v>0.10652043975935595</v>
      </c>
      <c r="AF61" s="29"/>
      <c r="AG61" s="91"/>
    </row>
    <row r="62" spans="2:33" ht="17.25" x14ac:dyDescent="0.25">
      <c r="B62" s="92" t="s">
        <v>32</v>
      </c>
      <c r="C62" s="82">
        <f>C61*4.52</f>
        <v>126.55999999999999</v>
      </c>
      <c r="D62" s="82">
        <f t="shared" ref="D62:Z62" si="3">D61*4.52</f>
        <v>90.399999999999991</v>
      </c>
      <c r="E62" s="82">
        <f t="shared" si="3"/>
        <v>81.359999999999985</v>
      </c>
      <c r="F62" s="82">
        <f t="shared" si="3"/>
        <v>94.919999999999987</v>
      </c>
      <c r="G62" s="82">
        <f t="shared" si="3"/>
        <v>76.839999999999989</v>
      </c>
      <c r="H62" s="82">
        <f t="shared" si="3"/>
        <v>103.96</v>
      </c>
      <c r="I62" s="82">
        <f t="shared" si="3"/>
        <v>45.199999999999996</v>
      </c>
      <c r="J62" s="82">
        <f t="shared" si="3"/>
        <v>54.239999999999995</v>
      </c>
      <c r="K62" s="82">
        <f t="shared" si="3"/>
        <v>85.88</v>
      </c>
      <c r="L62" s="82">
        <f t="shared" si="3"/>
        <v>108.47999999999999</v>
      </c>
      <c r="M62" s="82">
        <f t="shared" si="3"/>
        <v>135.6</v>
      </c>
      <c r="N62" s="82">
        <f t="shared" si="3"/>
        <v>144.63999999999999</v>
      </c>
      <c r="O62" s="82">
        <f t="shared" si="3"/>
        <v>40.679999999999993</v>
      </c>
      <c r="P62" s="82">
        <f t="shared" si="3"/>
        <v>36.159999999999997</v>
      </c>
      <c r="Q62" s="82">
        <f t="shared" si="3"/>
        <v>149.16</v>
      </c>
      <c r="R62" s="82">
        <f t="shared" si="3"/>
        <v>216.95999999999998</v>
      </c>
      <c r="S62" s="82">
        <f t="shared" si="3"/>
        <v>72.319999999999993</v>
      </c>
      <c r="T62" s="82">
        <f t="shared" si="3"/>
        <v>90.399999999999991</v>
      </c>
      <c r="U62" s="82">
        <f t="shared" si="3"/>
        <v>76.839999999999989</v>
      </c>
      <c r="V62" s="82">
        <f t="shared" si="3"/>
        <v>235.03999999999996</v>
      </c>
      <c r="W62" s="82">
        <f t="shared" si="3"/>
        <v>140.11999999999998</v>
      </c>
      <c r="X62" s="82">
        <f t="shared" si="3"/>
        <v>126.55999999999999</v>
      </c>
      <c r="Y62" s="82">
        <f t="shared" si="3"/>
        <v>126.55999999999999</v>
      </c>
      <c r="Z62" s="82">
        <f t="shared" si="3"/>
        <v>176.27999999999997</v>
      </c>
      <c r="AA62" s="82">
        <f>AA61*4.52</f>
        <v>2635.16</v>
      </c>
      <c r="AB62" s="7"/>
      <c r="AC62" s="8"/>
      <c r="AD62" s="79" t="s">
        <v>6</v>
      </c>
      <c r="AE62" s="100">
        <f>VAR(C64:Z64)</f>
        <v>5.6388266784025689E-3</v>
      </c>
      <c r="AF62" s="29"/>
      <c r="AG62" s="91"/>
    </row>
    <row r="63" spans="2:33" ht="15" x14ac:dyDescent="0.25">
      <c r="B63" s="92" t="s">
        <v>37</v>
      </c>
      <c r="C63" s="82">
        <f>C62/1000000</f>
        <v>1.2655999999999998E-4</v>
      </c>
      <c r="D63" s="82">
        <f t="shared" ref="D63:AA63" si="4">D62/1000000</f>
        <v>9.0399999999999988E-5</v>
      </c>
      <c r="E63" s="82">
        <f t="shared" si="4"/>
        <v>8.135999999999998E-5</v>
      </c>
      <c r="F63" s="82">
        <f t="shared" si="4"/>
        <v>9.4919999999999992E-5</v>
      </c>
      <c r="G63" s="82">
        <f t="shared" si="4"/>
        <v>7.6839999999999989E-5</v>
      </c>
      <c r="H63" s="82">
        <f t="shared" si="4"/>
        <v>1.0395999999999999E-4</v>
      </c>
      <c r="I63" s="82">
        <f t="shared" si="4"/>
        <v>4.5199999999999994E-5</v>
      </c>
      <c r="J63" s="82">
        <f t="shared" si="4"/>
        <v>5.4239999999999996E-5</v>
      </c>
      <c r="K63" s="82">
        <f t="shared" si="4"/>
        <v>8.5879999999999998E-5</v>
      </c>
      <c r="L63" s="82">
        <f t="shared" si="4"/>
        <v>1.0847999999999999E-4</v>
      </c>
      <c r="M63" s="82">
        <f t="shared" si="4"/>
        <v>1.3559999999999999E-4</v>
      </c>
      <c r="N63" s="82">
        <f t="shared" si="4"/>
        <v>1.4464E-4</v>
      </c>
      <c r="O63" s="82">
        <f t="shared" si="4"/>
        <v>4.067999999999999E-5</v>
      </c>
      <c r="P63" s="82">
        <f t="shared" si="4"/>
        <v>3.6159999999999999E-5</v>
      </c>
      <c r="Q63" s="82">
        <f t="shared" si="4"/>
        <v>1.4915999999999999E-4</v>
      </c>
      <c r="R63" s="82">
        <f t="shared" si="4"/>
        <v>2.1695999999999998E-4</v>
      </c>
      <c r="S63" s="82">
        <f t="shared" si="4"/>
        <v>7.2319999999999999E-5</v>
      </c>
      <c r="T63" s="82">
        <f t="shared" si="4"/>
        <v>9.0399999999999988E-5</v>
      </c>
      <c r="U63" s="82">
        <f t="shared" si="4"/>
        <v>7.6839999999999989E-5</v>
      </c>
      <c r="V63" s="82">
        <f t="shared" si="4"/>
        <v>2.3503999999999997E-4</v>
      </c>
      <c r="W63" s="82">
        <f t="shared" si="4"/>
        <v>1.4011999999999998E-4</v>
      </c>
      <c r="X63" s="82">
        <f t="shared" si="4"/>
        <v>1.2655999999999998E-4</v>
      </c>
      <c r="Y63" s="82">
        <f t="shared" si="4"/>
        <v>1.2655999999999998E-4</v>
      </c>
      <c r="Z63" s="82">
        <f t="shared" si="4"/>
        <v>1.7627999999999999E-4</v>
      </c>
      <c r="AA63" s="82">
        <f t="shared" si="4"/>
        <v>2.6351599999999997E-3</v>
      </c>
      <c r="AB63" s="7"/>
      <c r="AC63" s="8"/>
      <c r="AD63" s="79"/>
      <c r="AE63" s="100"/>
      <c r="AF63" s="29"/>
      <c r="AG63" s="91"/>
    </row>
    <row r="64" spans="2:33" ht="15" x14ac:dyDescent="0.25">
      <c r="B64" s="92" t="s">
        <v>33</v>
      </c>
      <c r="C64" s="83">
        <f>C60/C62</f>
        <v>7.1112515802781301E-2</v>
      </c>
      <c r="D64" s="83">
        <f t="shared" ref="D64:AA64" si="5">D60/D62</f>
        <v>8.8495575221238951E-2</v>
      </c>
      <c r="E64" s="83">
        <f t="shared" si="5"/>
        <v>0.22123893805309738</v>
      </c>
      <c r="F64" s="83">
        <f t="shared" si="5"/>
        <v>0.12642225031605564</v>
      </c>
      <c r="G64" s="83">
        <f t="shared" si="5"/>
        <v>0.11712649661634567</v>
      </c>
      <c r="H64" s="83">
        <f t="shared" si="5"/>
        <v>0.17314351673720663</v>
      </c>
      <c r="I64" s="83">
        <f t="shared" si="5"/>
        <v>0.15486725663716816</v>
      </c>
      <c r="J64" s="83">
        <f t="shared" si="5"/>
        <v>0.12905604719764013</v>
      </c>
      <c r="K64" s="83">
        <f t="shared" si="5"/>
        <v>0.2794597112249651</v>
      </c>
      <c r="L64" s="83">
        <f t="shared" si="5"/>
        <v>0.14749262536873159</v>
      </c>
      <c r="M64" s="83">
        <f t="shared" si="5"/>
        <v>0.19911504424778761</v>
      </c>
      <c r="N64" s="83">
        <f t="shared" si="5"/>
        <v>0.11753318584070797</v>
      </c>
      <c r="O64" s="83">
        <f t="shared" si="5"/>
        <v>0.14749262536873159</v>
      </c>
      <c r="P64" s="83">
        <f t="shared" si="5"/>
        <v>0.16592920353982302</v>
      </c>
      <c r="Q64" s="83">
        <f t="shared" si="5"/>
        <v>1.3408420488066506E-2</v>
      </c>
      <c r="R64" s="83">
        <f t="shared" si="5"/>
        <v>8.2964601769911508E-2</v>
      </c>
      <c r="S64" s="83">
        <f t="shared" si="5"/>
        <v>5.5309734513274339E-2</v>
      </c>
      <c r="T64" s="83">
        <f t="shared" si="5"/>
        <v>3.3185840707964605E-2</v>
      </c>
      <c r="U64" s="83">
        <f t="shared" si="5"/>
        <v>0.15616866215512756</v>
      </c>
      <c r="V64" s="83">
        <f t="shared" si="5"/>
        <v>2.1272974812797826E-2</v>
      </c>
      <c r="W64" s="83">
        <f t="shared" si="5"/>
        <v>2.8546959748786759E-2</v>
      </c>
      <c r="X64" s="83">
        <f t="shared" si="5"/>
        <v>0</v>
      </c>
      <c r="Y64" s="83">
        <f t="shared" si="5"/>
        <v>1.5802781289506955E-2</v>
      </c>
      <c r="Z64" s="83">
        <f t="shared" si="5"/>
        <v>1.1345586566825506E-2</v>
      </c>
      <c r="AA64" s="83">
        <f t="shared" si="5"/>
        <v>8.9558129297651765E-2</v>
      </c>
      <c r="AB64" s="10"/>
      <c r="AC64" s="11"/>
      <c r="AD64" s="79" t="s">
        <v>7</v>
      </c>
      <c r="AE64" s="101">
        <f>SQRT(((AE61+AE61^2/(AE61^2/(AE62-AE61))))/AE58)</f>
        <v>3.1099978982202033E-3</v>
      </c>
      <c r="AF64" s="29"/>
      <c r="AG64" s="91"/>
    </row>
    <row r="65" spans="1:34" ht="15" x14ac:dyDescent="0.25">
      <c r="A65" s="12"/>
      <c r="B65" s="92" t="s">
        <v>34</v>
      </c>
      <c r="C65" s="83">
        <f t="shared" ref="C65:Z65" si="6">DAYS360($A68,C2)</f>
        <v>150</v>
      </c>
      <c r="D65" s="83">
        <f t="shared" si="6"/>
        <v>150</v>
      </c>
      <c r="E65" s="83">
        <f t="shared" si="6"/>
        <v>150</v>
      </c>
      <c r="F65" s="83">
        <f t="shared" si="6"/>
        <v>152</v>
      </c>
      <c r="G65" s="83">
        <f t="shared" si="6"/>
        <v>149</v>
      </c>
      <c r="H65" s="83">
        <f t="shared" si="6"/>
        <v>149</v>
      </c>
      <c r="I65" s="83">
        <f t="shared" si="6"/>
        <v>149</v>
      </c>
      <c r="J65" s="83">
        <f t="shared" si="6"/>
        <v>150</v>
      </c>
      <c r="K65" s="83">
        <f t="shared" si="6"/>
        <v>150</v>
      </c>
      <c r="L65" s="83">
        <f t="shared" si="6"/>
        <v>150</v>
      </c>
      <c r="M65" s="83">
        <f t="shared" si="6"/>
        <v>149</v>
      </c>
      <c r="N65" s="83">
        <f t="shared" si="6"/>
        <v>149</v>
      </c>
      <c r="O65" s="83">
        <f t="shared" si="6"/>
        <v>149</v>
      </c>
      <c r="P65" s="83">
        <f t="shared" si="6"/>
        <v>149</v>
      </c>
      <c r="Q65" s="83">
        <f t="shared" si="6"/>
        <v>150</v>
      </c>
      <c r="R65" s="83">
        <f t="shared" si="6"/>
        <v>151</v>
      </c>
      <c r="S65" s="83">
        <f t="shared" si="6"/>
        <v>151</v>
      </c>
      <c r="T65" s="83">
        <f t="shared" si="6"/>
        <v>151</v>
      </c>
      <c r="U65" s="83">
        <f t="shared" si="6"/>
        <v>151</v>
      </c>
      <c r="V65" s="83">
        <f t="shared" si="6"/>
        <v>152</v>
      </c>
      <c r="W65" s="83">
        <f t="shared" si="6"/>
        <v>151</v>
      </c>
      <c r="X65" s="83">
        <f t="shared" si="6"/>
        <v>151</v>
      </c>
      <c r="Y65" s="83">
        <f t="shared" si="6"/>
        <v>151</v>
      </c>
      <c r="Z65" s="83">
        <f t="shared" si="6"/>
        <v>151</v>
      </c>
      <c r="AA65" s="13"/>
      <c r="AB65" s="146"/>
      <c r="AC65" s="146"/>
      <c r="AG65" s="91"/>
    </row>
    <row r="66" spans="1:34" ht="15.75" thickBot="1" x14ac:dyDescent="0.3">
      <c r="B66" s="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6"/>
      <c r="AE66" s="42"/>
      <c r="AF66" s="27"/>
      <c r="AG66" s="32"/>
    </row>
    <row r="67" spans="1:34" ht="29.25" thickTop="1" thickBot="1" x14ac:dyDescent="0.4">
      <c r="A67" s="14" t="s">
        <v>12</v>
      </c>
      <c r="C67" s="93" t="s">
        <v>50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C67" s="17"/>
      <c r="AD67" s="43" t="s">
        <v>14</v>
      </c>
      <c r="AE67" s="44"/>
      <c r="AF67" s="45"/>
      <c r="AG67" s="46"/>
    </row>
    <row r="68" spans="1:34" ht="19.5" thickTop="1" x14ac:dyDescent="0.3">
      <c r="A68" s="86">
        <v>43050</v>
      </c>
      <c r="B68" s="102" t="s">
        <v>51</v>
      </c>
      <c r="C68" s="176" t="str">
        <f>Z1 &amp; "," &amp; G1 &amp; "," &amp; J1 &amp; "," &amp;  "," &amp; Q1</f>
        <v>5E,2B,3A,,4A</v>
      </c>
      <c r="D68" s="176"/>
      <c r="E68" s="174" t="str">
        <f>H1 &amp; "," &amp; K1 &amp; "," &amp; P1 &amp; "," &amp; R1 &amp; ","</f>
        <v>2C,3B,3G,4B,</v>
      </c>
      <c r="F68" s="174"/>
      <c r="G68" s="174" t="str">
        <f>E1 &amp; "," &amp; I1 &amp; "," &amp; L1 &amp; "," &amp; S1</f>
        <v>1C,2D,3C,4C</v>
      </c>
      <c r="H68" s="174"/>
      <c r="I68" s="174" t="str">
        <f>F1 &amp; "," &amp; M1 &amp; "," &amp; T1 &amp; "," &amp;  X1</f>
        <v>2A,3D,4D,5C</v>
      </c>
      <c r="J68" s="174"/>
      <c r="K68" s="174" t="str">
        <f>D1 &amp; "," &amp; U1 &amp; "," &amp; Y1 &amp; "," &amp; V1 &amp; ","</f>
        <v>1B,4E,5D,5A,</v>
      </c>
      <c r="L68" s="174"/>
      <c r="M68" s="174" t="str">
        <f>C1 &amp; "," &amp; W1 &amp; ","  &amp; N1 &amp; "," &amp; O1</f>
        <v>1A,5B,3E,3F</v>
      </c>
      <c r="N68" s="174"/>
      <c r="O68" s="102"/>
      <c r="P68" s="102"/>
      <c r="AC68" s="21"/>
      <c r="AD68" s="52" t="s">
        <v>8</v>
      </c>
      <c r="AE68" s="53" t="str">
        <f>+A1</f>
        <v>Sudbury</v>
      </c>
      <c r="AF68" s="54"/>
      <c r="AG68" s="55"/>
    </row>
    <row r="69" spans="1:34" ht="18.75" x14ac:dyDescent="0.3">
      <c r="A69" s="86"/>
      <c r="B69" s="104" t="s">
        <v>39</v>
      </c>
      <c r="C69" s="176">
        <f>G63+ J63 + Q63+ Z63</f>
        <v>4.5651999999999997E-4</v>
      </c>
      <c r="D69" s="176"/>
      <c r="E69" s="174">
        <f>H63+ K63 + P63+ R63</f>
        <v>4.4295999999999995E-4</v>
      </c>
      <c r="F69" s="174"/>
      <c r="G69" s="174">
        <f>E63 + I63 + L63 + S63</f>
        <v>3.0735999999999996E-4</v>
      </c>
      <c r="H69" s="174"/>
      <c r="I69" s="174">
        <f>F63+ M63 + T63 + X63</f>
        <v>4.4747999999999999E-4</v>
      </c>
      <c r="J69" s="174"/>
      <c r="K69" s="174">
        <f>D63 + U63 + Y63 + V63</f>
        <v>5.2883999999999993E-4</v>
      </c>
      <c r="L69" s="174"/>
      <c r="M69" s="174">
        <f>C63 +W63+ N63 + O63</f>
        <v>4.5199999999999993E-4</v>
      </c>
      <c r="N69" s="174"/>
      <c r="O69" s="102"/>
      <c r="P69" s="102"/>
      <c r="AC69" s="21"/>
      <c r="AD69" s="52" t="s">
        <v>9</v>
      </c>
      <c r="AE69" s="52">
        <f>A2</f>
        <v>2016</v>
      </c>
      <c r="AF69" s="61"/>
      <c r="AG69" s="55"/>
    </row>
    <row r="70" spans="1:34" ht="18.75" x14ac:dyDescent="0.3">
      <c r="A70" s="98" t="s">
        <v>11</v>
      </c>
      <c r="B70" s="104" t="s">
        <v>38</v>
      </c>
      <c r="C70" s="174">
        <f>G60 + J60 + Q60 + Z60</f>
        <v>20</v>
      </c>
      <c r="D70" s="174"/>
      <c r="E70" s="174">
        <f>H60 + K60 + P60 + R60</f>
        <v>66</v>
      </c>
      <c r="F70" s="174"/>
      <c r="G70" s="174">
        <f>E60 + I60 + L60 + S60</f>
        <v>45</v>
      </c>
      <c r="H70" s="174"/>
      <c r="I70" s="174">
        <f>F60 + M60 + T60 + X60</f>
        <v>42</v>
      </c>
      <c r="J70" s="174"/>
      <c r="K70" s="174">
        <f>D60 + U60 + Y60 + V60</f>
        <v>27</v>
      </c>
      <c r="L70" s="174"/>
      <c r="M70" s="174">
        <f>C60 +W60 + N60 + O60</f>
        <v>36</v>
      </c>
      <c r="N70" s="174"/>
      <c r="P70" s="2">
        <f>SUM(C70:N70)</f>
        <v>236</v>
      </c>
      <c r="AC70" s="21"/>
      <c r="AD70" s="62" t="s">
        <v>10</v>
      </c>
      <c r="AE70" s="109">
        <f>AE57</f>
        <v>24</v>
      </c>
      <c r="AF70" s="61"/>
      <c r="AG70" s="55"/>
    </row>
    <row r="71" spans="1:34" ht="18.75" x14ac:dyDescent="0.3">
      <c r="A71" s="98"/>
      <c r="B71" s="104" t="s">
        <v>40</v>
      </c>
      <c r="C71" s="174">
        <f>AVERAGE(G65,J65,Q65,Z65)</f>
        <v>150</v>
      </c>
      <c r="D71" s="174"/>
      <c r="E71" s="175">
        <f xml:space="preserve"> AVERAGE(H65, K65, P65, R65)</f>
        <v>149.75</v>
      </c>
      <c r="F71" s="175"/>
      <c r="G71" s="175">
        <f xml:space="preserve"> AVERAGE(E65, I65, L65, S65)</f>
        <v>150</v>
      </c>
      <c r="H71" s="175"/>
      <c r="I71" s="175">
        <f>AVERAGE(F65, M65, T65, X65)</f>
        <v>150.75</v>
      </c>
      <c r="J71" s="175"/>
      <c r="K71" s="175">
        <f>AVERAGE(D65, U65, Y65, V65)</f>
        <v>151</v>
      </c>
      <c r="L71" s="175"/>
      <c r="M71" s="175">
        <f>AVERAGE(C65,W65, N65, O65)</f>
        <v>149.75</v>
      </c>
      <c r="N71" s="175"/>
      <c r="AC71" s="21"/>
      <c r="AD71" s="52" t="s">
        <v>30</v>
      </c>
      <c r="AE71" s="105">
        <f>AA61</f>
        <v>583</v>
      </c>
      <c r="AF71" s="61"/>
      <c r="AG71" s="55"/>
    </row>
    <row r="72" spans="1:34" ht="18.75" x14ac:dyDescent="0.3">
      <c r="A72" s="98"/>
      <c r="B72" s="94" t="s">
        <v>1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AA72" s="16" t="s">
        <v>16</v>
      </c>
      <c r="AB72" s="16" t="s">
        <v>15</v>
      </c>
      <c r="AC72" s="21"/>
      <c r="AD72" s="52" t="s">
        <v>42</v>
      </c>
      <c r="AE72" s="105">
        <f>AA60</f>
        <v>236</v>
      </c>
      <c r="AF72" s="61"/>
      <c r="AG72" s="55"/>
    </row>
    <row r="73" spans="1:34" ht="18.75" x14ac:dyDescent="0.3">
      <c r="A73" s="22"/>
      <c r="B73" s="19">
        <v>10.9</v>
      </c>
      <c r="C73" s="171">
        <f>C70/(B73*C69*C71)</f>
        <v>26.794917861519039</v>
      </c>
      <c r="D73" s="172"/>
      <c r="E73" s="171">
        <f>E70/(B73*E69*E71)</f>
        <v>91.282199481220033</v>
      </c>
      <c r="F73" s="172"/>
      <c r="G73" s="171">
        <f>G70/(B73*G69*G71)</f>
        <v>89.546251235738282</v>
      </c>
      <c r="H73" s="172"/>
      <c r="I73" s="171">
        <f>I70/(B73*I69*I71)</f>
        <v>57.120479204263411</v>
      </c>
      <c r="J73" s="172"/>
      <c r="K73" s="171">
        <f>K70/(B73*K69*K71)</f>
        <v>31.019587794346425</v>
      </c>
      <c r="L73" s="172"/>
      <c r="M73" s="171">
        <f>M70/(B73*M69*M71)</f>
        <v>48.794484813597613</v>
      </c>
      <c r="N73" s="172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20">
        <f>AVERAGE(C73:Z73)</f>
        <v>57.426320065114133</v>
      </c>
      <c r="AB73" s="20">
        <f>STDEV(C73:Z73)</f>
        <v>27.885878067808598</v>
      </c>
      <c r="AC73" s="21"/>
      <c r="AD73" s="52"/>
      <c r="AE73" s="105"/>
      <c r="AF73" s="61"/>
      <c r="AG73" s="55"/>
    </row>
    <row r="74" spans="1:34" ht="18.75" x14ac:dyDescent="0.3">
      <c r="A74" s="26"/>
      <c r="B74" s="24">
        <v>19.8</v>
      </c>
      <c r="C74" s="171">
        <f>C70/(B74*C71*C69)</f>
        <v>14.75073761063422</v>
      </c>
      <c r="D74" s="172"/>
      <c r="E74" s="171">
        <f>E70/(B74*E69*E71)</f>
        <v>50.251311835621131</v>
      </c>
      <c r="F74" s="172"/>
      <c r="G74" s="171">
        <f>G70/(B74*G69*G71)</f>
        <v>49.295663559068046</v>
      </c>
      <c r="H74" s="172"/>
      <c r="I74" s="171">
        <f>I70/(B74*I69*I71)</f>
        <v>31.445112289215718</v>
      </c>
      <c r="J74" s="172"/>
      <c r="K74" s="171">
        <f>K70/(B74*K69*K71)</f>
        <v>17.076439745372529</v>
      </c>
      <c r="L74" s="172"/>
      <c r="M74" s="171">
        <f>M70/(B74*M69*M71)</f>
        <v>26.861610326677479</v>
      </c>
      <c r="N74" s="172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0">
        <f>AVERAGE(C74:Z74)</f>
        <v>31.613479227764856</v>
      </c>
      <c r="AB74" s="20">
        <f>STDEV(C74:Z74)</f>
        <v>15.351316714096646</v>
      </c>
      <c r="AC74" s="21"/>
      <c r="AD74" s="106" t="s">
        <v>43</v>
      </c>
      <c r="AE74" s="63"/>
      <c r="AF74" s="61"/>
      <c r="AG74" s="55"/>
    </row>
    <row r="75" spans="1:34" ht="18.75" x14ac:dyDescent="0.3">
      <c r="B75" s="19">
        <v>28.7</v>
      </c>
      <c r="C75" s="171">
        <f>C70/(B75*C69*C71)</f>
        <v>10.176467062388765</v>
      </c>
      <c r="D75" s="172"/>
      <c r="E75" s="171">
        <f>E70/(B75*E69*E71)</f>
        <v>34.668152416212493</v>
      </c>
      <c r="F75" s="172"/>
      <c r="G75" s="171">
        <f>G70/(B75*G69*G71)</f>
        <v>34.008854998938929</v>
      </c>
      <c r="H75" s="172"/>
      <c r="I75" s="171">
        <f>I70/(B75*I69*I71)</f>
        <v>21.693840534023391</v>
      </c>
      <c r="J75" s="172"/>
      <c r="K75" s="171">
        <f>K70/(B75*K69*K71)</f>
        <v>11.780958430605436</v>
      </c>
      <c r="L75" s="172"/>
      <c r="M75" s="171">
        <f>M70/(B75*M69*M71)</f>
        <v>18.531703291575404</v>
      </c>
      <c r="N75" s="17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0">
        <f>AVERAGE(C75:Z75)</f>
        <v>21.809996122290737</v>
      </c>
      <c r="AB75" s="20">
        <f>STDEV(C75:Z75)</f>
        <v>10.590803865474344</v>
      </c>
      <c r="AC75" s="21"/>
      <c r="AD75" s="62" t="s">
        <v>44</v>
      </c>
      <c r="AE75" s="107">
        <f>AVERAGE(C73:N75)</f>
        <v>36.949931805056565</v>
      </c>
      <c r="AF75" s="61" t="s">
        <v>48</v>
      </c>
      <c r="AG75" s="110">
        <f>AE75/0.386</f>
        <v>95.725211930198356</v>
      </c>
      <c r="AH75" s="110" t="s">
        <v>49</v>
      </c>
    </row>
    <row r="76" spans="1:34" ht="18.75" x14ac:dyDescent="0.3">
      <c r="B76" s="1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0"/>
      <c r="AB76" s="20"/>
      <c r="AC76" s="21"/>
      <c r="AD76" s="71" t="s">
        <v>94</v>
      </c>
      <c r="AE76" s="72">
        <f>_xlfn.VAR.S(C73:N75)</f>
        <v>569.94813903048532</v>
      </c>
      <c r="AF76" s="61" t="s">
        <v>48</v>
      </c>
      <c r="AG76" s="110">
        <f>AE76/0.386</f>
        <v>1476.5495829805318</v>
      </c>
      <c r="AH76" s="110" t="s">
        <v>49</v>
      </c>
    </row>
    <row r="77" spans="1:34" ht="18.75" x14ac:dyDescent="0.3">
      <c r="B77" s="77" t="s">
        <v>41</v>
      </c>
      <c r="C77" s="173">
        <f>AVERAGE(C73:C75)</f>
        <v>17.240707511514007</v>
      </c>
      <c r="D77" s="173"/>
      <c r="E77" s="173">
        <f>AVERAGE(E73:E75)</f>
        <v>58.733887911017881</v>
      </c>
      <c r="F77" s="173"/>
      <c r="G77" s="173">
        <f>AVERAGE(G73:G75)</f>
        <v>57.61692326458175</v>
      </c>
      <c r="H77" s="173"/>
      <c r="I77" s="173">
        <f>AVERAGE(I73:I75)</f>
        <v>36.753144009167507</v>
      </c>
      <c r="J77" s="173"/>
      <c r="K77" s="173">
        <f>AVERAGE(K73:K75)</f>
        <v>19.958995323441464</v>
      </c>
      <c r="L77" s="173"/>
      <c r="M77" s="173">
        <f>AVERAGE(M73:M75)</f>
        <v>31.395932810616831</v>
      </c>
      <c r="N77" s="173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20"/>
      <c r="AB77" s="20"/>
      <c r="AC77" s="21"/>
      <c r="AD77" s="71" t="s">
        <v>46</v>
      </c>
      <c r="AE77" s="72">
        <f>MAX(C73:R75)</f>
        <v>91.282199481220033</v>
      </c>
      <c r="AF77" s="61" t="s">
        <v>48</v>
      </c>
      <c r="AG77" s="110">
        <f>AE77/0.386</f>
        <v>236.48238207569955</v>
      </c>
      <c r="AH77" s="110" t="s">
        <v>49</v>
      </c>
    </row>
    <row r="78" spans="1:34" ht="18.75" x14ac:dyDescent="0.3">
      <c r="S78" s="33"/>
      <c r="AC78" s="21"/>
      <c r="AD78" s="71" t="s">
        <v>47</v>
      </c>
      <c r="AE78" s="72">
        <f>MIN(C73:T75)</f>
        <v>10.176467062388765</v>
      </c>
      <c r="AF78" s="108" t="s">
        <v>48</v>
      </c>
      <c r="AG78" s="110">
        <f>AE78/0.386</f>
        <v>26.363904306706644</v>
      </c>
      <c r="AH78" s="110" t="s">
        <v>49</v>
      </c>
    </row>
    <row r="79" spans="1:34" ht="18.75" x14ac:dyDescent="0.3">
      <c r="AC79" s="21"/>
      <c r="AD79" s="68" t="s">
        <v>53</v>
      </c>
      <c r="AE79" s="72">
        <f>COUNT(C73:N75)</f>
        <v>18</v>
      </c>
      <c r="AF79" s="61"/>
      <c r="AG79" s="55"/>
    </row>
    <row r="80" spans="1:34" ht="18.75" x14ac:dyDescent="0.3">
      <c r="AC80" s="21"/>
      <c r="AD80" s="66"/>
      <c r="AE80" s="72"/>
      <c r="AF80" s="61"/>
      <c r="AG80" s="61"/>
    </row>
    <row r="81" spans="1:35" ht="18.75" x14ac:dyDescent="0.3">
      <c r="A81" s="18"/>
      <c r="AC81" s="21"/>
      <c r="AD81" s="68" t="s">
        <v>54</v>
      </c>
      <c r="AE81" s="69"/>
      <c r="AF81" s="110">
        <f>AE75-AE84</f>
        <v>27.158850302743978</v>
      </c>
      <c r="AG81" s="110">
        <f>AE75+AE84</f>
        <v>46.741013307369151</v>
      </c>
      <c r="AH81" s="111" t="s">
        <v>48</v>
      </c>
      <c r="AI81"/>
    </row>
    <row r="82" spans="1:35" ht="18.75" x14ac:dyDescent="0.3">
      <c r="AA82" s="146"/>
      <c r="AB82" s="146"/>
      <c r="AC82" s="21"/>
      <c r="AD82" s="71"/>
      <c r="AE82" s="74"/>
      <c r="AF82" s="110">
        <f>AF81/0.386</f>
        <v>70.359715810217565</v>
      </c>
      <c r="AG82" s="110">
        <f>AG81/0.386</f>
        <v>121.09070805017915</v>
      </c>
      <c r="AH82" s="111" t="s">
        <v>49</v>
      </c>
    </row>
    <row r="83" spans="1:35" ht="23.25" x14ac:dyDescent="0.35">
      <c r="AA83" s="38"/>
      <c r="AB83" s="39"/>
      <c r="AC83" s="21"/>
      <c r="AE83" s="18"/>
    </row>
    <row r="84" spans="1:35" ht="23.25" x14ac:dyDescent="0.35">
      <c r="AA84" s="39"/>
      <c r="AB84" s="41"/>
      <c r="AC84" s="21"/>
      <c r="AD84" s="2" t="s">
        <v>52</v>
      </c>
      <c r="AE84" s="18">
        <f>1.74*AE85</f>
        <v>9.7910815023125846</v>
      </c>
    </row>
    <row r="85" spans="1:35" s="18" customFormat="1" ht="23.2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9"/>
      <c r="AB85" s="41"/>
      <c r="AC85" s="27"/>
      <c r="AD85" s="2" t="s">
        <v>96</v>
      </c>
      <c r="AE85" s="18">
        <f>SQRT(AE76)/SQRT(AE79)</f>
        <v>5.6270583346624052</v>
      </c>
    </row>
    <row r="86" spans="1:35" ht="15" x14ac:dyDescent="0.25">
      <c r="R86" s="47"/>
      <c r="AA86" s="48"/>
      <c r="AB86" s="49"/>
      <c r="AE86" s="18"/>
      <c r="AF86" s="31"/>
      <c r="AG86" s="31"/>
    </row>
    <row r="87" spans="1:35" ht="17.25" customHeight="1" x14ac:dyDescent="0.25">
      <c r="R87" s="56"/>
      <c r="AA87" s="57"/>
      <c r="AB87" s="49"/>
      <c r="AE87" s="18"/>
      <c r="AF87" s="31"/>
      <c r="AG87" s="31"/>
    </row>
    <row r="88" spans="1:35" ht="15.75" customHeight="1" x14ac:dyDescent="0.25">
      <c r="R88" s="56"/>
      <c r="AA88" s="57"/>
      <c r="AB88" s="49"/>
      <c r="AD88" s="18"/>
      <c r="AE88" s="18"/>
      <c r="AF88" s="31"/>
      <c r="AG88" s="31"/>
      <c r="AI88" s="36"/>
    </row>
    <row r="89" spans="1:35" ht="15" customHeight="1" x14ac:dyDescent="0.25">
      <c r="R89" s="26"/>
      <c r="S89" s="13"/>
      <c r="T89" s="13"/>
      <c r="U89" s="13"/>
      <c r="V89" s="13"/>
      <c r="W89" s="13"/>
      <c r="X89" s="13"/>
      <c r="Y89" s="13"/>
      <c r="Z89" s="13"/>
      <c r="AA89" s="57"/>
      <c r="AB89" s="49"/>
      <c r="AD89" s="30"/>
      <c r="AE89" s="31"/>
      <c r="AF89" s="31"/>
      <c r="AG89" s="31"/>
    </row>
    <row r="90" spans="1:35" ht="15.75" customHeight="1" x14ac:dyDescent="0.3">
      <c r="R90" s="26"/>
      <c r="AA90" s="48"/>
      <c r="AB90" s="49"/>
      <c r="AD90" s="34"/>
      <c r="AE90" s="35"/>
      <c r="AF90" s="31"/>
      <c r="AG90" s="31"/>
    </row>
    <row r="91" spans="1:35" ht="16.5" customHeight="1" x14ac:dyDescent="0.3">
      <c r="R91" s="26"/>
      <c r="AA91" s="48"/>
      <c r="AB91" s="49"/>
      <c r="AC91" s="146"/>
      <c r="AD91" s="34"/>
      <c r="AE91" s="31"/>
    </row>
    <row r="92" spans="1:35" ht="16.5" customHeight="1" x14ac:dyDescent="0.35">
      <c r="R92" s="26"/>
      <c r="AA92" s="48"/>
      <c r="AB92" s="49"/>
      <c r="AC92" s="39"/>
      <c r="AD92" s="34"/>
      <c r="AE92" s="37"/>
    </row>
    <row r="93" spans="1:35" ht="16.5" customHeight="1" x14ac:dyDescent="0.3">
      <c r="R93" s="26"/>
      <c r="AA93" s="48"/>
      <c r="AB93" s="49"/>
      <c r="AC93" s="41"/>
      <c r="AD93" s="34"/>
      <c r="AE93" s="31"/>
    </row>
    <row r="94" spans="1:35" ht="15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70"/>
      <c r="S94" s="70"/>
      <c r="T94" s="60"/>
      <c r="U94" s="60"/>
      <c r="V94" s="60"/>
      <c r="W94" s="60"/>
      <c r="X94" s="60"/>
      <c r="Y94" s="60"/>
      <c r="Z94" s="60"/>
      <c r="AA94" s="48"/>
      <c r="AB94" s="49"/>
      <c r="AC94" s="41"/>
    </row>
    <row r="95" spans="1:35" ht="15" x14ac:dyDescent="0.25">
      <c r="A95" s="64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70"/>
      <c r="S95" s="70"/>
      <c r="T95" s="60"/>
      <c r="U95" s="60"/>
      <c r="V95" s="60"/>
      <c r="W95" s="60"/>
      <c r="X95" s="60"/>
      <c r="Y95" s="60"/>
      <c r="Z95" s="60"/>
      <c r="AA95" s="48"/>
      <c r="AB95" s="49"/>
      <c r="AC95" s="50"/>
      <c r="AD95" s="40"/>
      <c r="AF95" s="51"/>
      <c r="AG95" s="51"/>
      <c r="AH95" s="51"/>
    </row>
    <row r="96" spans="1:35" ht="15" x14ac:dyDescent="0.25">
      <c r="A96" s="64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70"/>
      <c r="S96" s="70"/>
      <c r="T96" s="60"/>
      <c r="U96" s="60"/>
      <c r="V96" s="60"/>
      <c r="W96" s="60"/>
      <c r="X96" s="60"/>
      <c r="Y96" s="60"/>
      <c r="Z96" s="60"/>
      <c r="AA96" s="48"/>
      <c r="AB96" s="49"/>
      <c r="AC96" s="50"/>
      <c r="AD96" s="40"/>
      <c r="AF96" s="51"/>
      <c r="AG96" s="60"/>
      <c r="AH96" s="60"/>
    </row>
    <row r="97" spans="1:34" ht="15" x14ac:dyDescent="0.25">
      <c r="A97" s="64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70"/>
      <c r="S97" s="70"/>
      <c r="T97" s="60"/>
      <c r="U97" s="60"/>
      <c r="V97" s="60"/>
      <c r="W97" s="60"/>
      <c r="X97" s="60"/>
      <c r="Y97" s="60"/>
      <c r="Z97" s="60"/>
      <c r="AA97" s="48"/>
      <c r="AB97" s="49"/>
      <c r="AC97" s="50"/>
      <c r="AD97" s="40"/>
      <c r="AF97" s="51"/>
      <c r="AG97" s="60"/>
      <c r="AH97" s="60"/>
    </row>
    <row r="98" spans="1:34" ht="15" x14ac:dyDescent="0.25">
      <c r="A98" s="64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70"/>
      <c r="S98" s="70"/>
      <c r="T98" s="60"/>
      <c r="U98" s="60"/>
      <c r="V98" s="60"/>
      <c r="W98" s="60"/>
      <c r="X98" s="60"/>
      <c r="Y98" s="60"/>
      <c r="Z98" s="60"/>
      <c r="AA98" s="48"/>
      <c r="AB98" s="49"/>
      <c r="AC98" s="50"/>
      <c r="AD98" s="40"/>
      <c r="AE98" s="51"/>
      <c r="AF98" s="51"/>
      <c r="AG98" s="60"/>
      <c r="AH98" s="60"/>
    </row>
    <row r="99" spans="1:34" ht="15" x14ac:dyDescent="0.25">
      <c r="A99" s="67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70"/>
      <c r="S99" s="70"/>
      <c r="T99" s="60"/>
      <c r="U99" s="60"/>
      <c r="V99" s="60"/>
      <c r="W99" s="60"/>
      <c r="X99" s="60"/>
      <c r="Y99" s="60"/>
      <c r="Z99" s="60"/>
      <c r="AA99" s="48"/>
      <c r="AB99" s="49"/>
      <c r="AC99" s="50"/>
      <c r="AD99" s="58"/>
      <c r="AE99" s="59"/>
      <c r="AF99" s="51"/>
      <c r="AG99" s="60"/>
      <c r="AH99" s="60"/>
    </row>
    <row r="100" spans="1:34" ht="15" x14ac:dyDescent="0.25">
      <c r="A100" s="67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70"/>
      <c r="S100" s="70"/>
      <c r="T100" s="60"/>
      <c r="U100" s="60"/>
      <c r="V100" s="60"/>
      <c r="W100" s="60"/>
      <c r="X100" s="60"/>
      <c r="Y100" s="60"/>
      <c r="Z100" s="60"/>
      <c r="AA100" s="48"/>
      <c r="AB100" s="49"/>
      <c r="AC100" s="50"/>
      <c r="AD100" s="58"/>
      <c r="AE100" s="59"/>
      <c r="AF100" s="51"/>
      <c r="AG100" s="60"/>
      <c r="AH100" s="60"/>
    </row>
    <row r="101" spans="1:34" ht="15" x14ac:dyDescent="0.25">
      <c r="A101" s="73"/>
      <c r="R101" s="70"/>
      <c r="S101" s="70"/>
      <c r="AA101" s="48"/>
      <c r="AB101" s="49"/>
      <c r="AC101" s="50"/>
      <c r="AD101" s="58"/>
      <c r="AE101" s="59"/>
      <c r="AF101" s="51"/>
      <c r="AG101" s="60"/>
      <c r="AH101" s="60"/>
    </row>
    <row r="102" spans="1:34" x14ac:dyDescent="0.2">
      <c r="A102" s="73"/>
      <c r="B102" s="27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AA102" s="48"/>
      <c r="AB102" s="49"/>
      <c r="AC102" s="50"/>
      <c r="AD102" s="65"/>
      <c r="AE102" s="59"/>
      <c r="AF102" s="51"/>
      <c r="AG102" s="60"/>
      <c r="AH102" s="60"/>
    </row>
    <row r="103" spans="1:34" s="60" customFormat="1" x14ac:dyDescent="0.2">
      <c r="A103" s="73"/>
      <c r="B103" s="27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48"/>
      <c r="AB103" s="49"/>
      <c r="AC103" s="50"/>
      <c r="AD103" s="58"/>
      <c r="AE103" s="59"/>
      <c r="AF103" s="51"/>
    </row>
    <row r="104" spans="1:34" s="60" customFormat="1" x14ac:dyDescent="0.2">
      <c r="A104" s="7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48"/>
      <c r="AB104" s="49"/>
      <c r="AC104" s="50"/>
      <c r="AD104" s="58"/>
      <c r="AE104" s="59"/>
      <c r="AF104" s="51"/>
    </row>
    <row r="105" spans="1:34" s="60" customFormat="1" x14ac:dyDescent="0.2">
      <c r="A105" s="7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48"/>
      <c r="AB105" s="49"/>
      <c r="AC105" s="50"/>
      <c r="AD105" s="58"/>
      <c r="AE105" s="59"/>
      <c r="AF105" s="51"/>
    </row>
    <row r="106" spans="1:34" s="60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48"/>
      <c r="AB106" s="49"/>
      <c r="AC106" s="50"/>
      <c r="AD106" s="58"/>
      <c r="AE106" s="59"/>
      <c r="AF106" s="51"/>
    </row>
    <row r="107" spans="1:34" s="60" customFormat="1" x14ac:dyDescent="0.2">
      <c r="A107" s="22"/>
      <c r="B107" s="1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48"/>
      <c r="AB107" s="49"/>
      <c r="AC107" s="50"/>
      <c r="AD107" s="58"/>
      <c r="AE107" s="59"/>
      <c r="AF107" s="51"/>
    </row>
    <row r="108" spans="1:34" s="60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48"/>
      <c r="AB108" s="49"/>
      <c r="AC108" s="50"/>
      <c r="AD108" s="58"/>
      <c r="AE108" s="59"/>
      <c r="AF108" s="51"/>
    </row>
    <row r="109" spans="1:34" s="60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48"/>
      <c r="AB109" s="49"/>
      <c r="AC109" s="50"/>
      <c r="AD109" s="58"/>
      <c r="AE109" s="59"/>
      <c r="AF109" s="51"/>
    </row>
    <row r="110" spans="1:34" x14ac:dyDescent="0.2">
      <c r="AA110" s="48"/>
      <c r="AB110" s="49"/>
      <c r="AC110" s="50"/>
      <c r="AD110" s="58"/>
      <c r="AE110" s="59"/>
      <c r="AF110" s="51"/>
      <c r="AG110" s="51"/>
      <c r="AH110" s="51"/>
    </row>
    <row r="111" spans="1:34" x14ac:dyDescent="0.2">
      <c r="AA111" s="48"/>
      <c r="AB111" s="49"/>
      <c r="AC111" s="50"/>
      <c r="AD111" s="58"/>
      <c r="AE111" s="59"/>
      <c r="AF111" s="51"/>
      <c r="AG111" s="51"/>
      <c r="AH111" s="51"/>
    </row>
    <row r="112" spans="1:34" x14ac:dyDescent="0.2">
      <c r="AA112" s="48"/>
      <c r="AB112" s="49"/>
      <c r="AC112" s="50"/>
      <c r="AD112" s="58"/>
      <c r="AE112" s="59"/>
      <c r="AF112" s="51"/>
      <c r="AG112" s="51"/>
      <c r="AH112" s="51"/>
    </row>
    <row r="113" spans="27:34" x14ac:dyDescent="0.2">
      <c r="AA113" s="48"/>
      <c r="AB113" s="49"/>
      <c r="AC113" s="50"/>
      <c r="AD113" s="58"/>
      <c r="AE113" s="51"/>
      <c r="AF113" s="51"/>
      <c r="AG113" s="51"/>
      <c r="AH113" s="51"/>
    </row>
    <row r="114" spans="27:34" x14ac:dyDescent="0.2">
      <c r="AA114" s="40"/>
      <c r="AB114" s="50"/>
      <c r="AC114" s="50"/>
      <c r="AD114" s="58"/>
      <c r="AE114" s="51"/>
      <c r="AF114" s="51"/>
      <c r="AG114" s="51"/>
      <c r="AH114" s="51"/>
    </row>
    <row r="115" spans="27:34" x14ac:dyDescent="0.2">
      <c r="AA115" s="40"/>
      <c r="AB115" s="40"/>
      <c r="AC115" s="50"/>
      <c r="AD115" s="58"/>
      <c r="AE115" s="51"/>
      <c r="AF115" s="51"/>
      <c r="AG115" s="51"/>
      <c r="AH115" s="51"/>
    </row>
    <row r="116" spans="27:34" x14ac:dyDescent="0.2">
      <c r="AC116" s="50"/>
      <c r="AD116" s="58"/>
      <c r="AE116" s="51"/>
      <c r="AF116" s="51"/>
      <c r="AG116" s="51"/>
      <c r="AH116" s="51"/>
    </row>
    <row r="117" spans="27:34" x14ac:dyDescent="0.2">
      <c r="AC117" s="50"/>
      <c r="AD117" s="76"/>
      <c r="AE117" s="51"/>
      <c r="AF117" s="51"/>
      <c r="AG117" s="51"/>
      <c r="AH117" s="51"/>
    </row>
    <row r="118" spans="27:34" x14ac:dyDescent="0.2">
      <c r="AC118" s="50"/>
      <c r="AD118" s="76"/>
      <c r="AE118" s="51"/>
      <c r="AF118" s="51"/>
      <c r="AG118" s="51"/>
      <c r="AH118" s="51"/>
    </row>
    <row r="119" spans="27:34" x14ac:dyDescent="0.2">
      <c r="AC119" s="50"/>
      <c r="AD119" s="76"/>
      <c r="AE119" s="51"/>
      <c r="AF119" s="51"/>
      <c r="AG119" s="51"/>
      <c r="AH119" s="51"/>
    </row>
    <row r="120" spans="27:34" x14ac:dyDescent="0.2">
      <c r="AC120" s="50"/>
      <c r="AD120" s="76"/>
      <c r="AE120" s="51"/>
      <c r="AF120" s="51"/>
      <c r="AG120" s="51"/>
      <c r="AH120" s="51"/>
    </row>
    <row r="121" spans="27:34" x14ac:dyDescent="0.2">
      <c r="AC121" s="50"/>
      <c r="AD121" s="76"/>
      <c r="AE121" s="51"/>
      <c r="AF121" s="51"/>
      <c r="AG121" s="51"/>
      <c r="AH121" s="51"/>
    </row>
    <row r="122" spans="27:34" x14ac:dyDescent="0.2">
      <c r="AC122" s="50"/>
      <c r="AD122" s="76"/>
      <c r="AE122" s="51"/>
      <c r="AF122" s="51"/>
      <c r="AG122" s="51"/>
      <c r="AH122" s="51"/>
    </row>
    <row r="123" spans="27:34" x14ac:dyDescent="0.2">
      <c r="AC123" s="50"/>
      <c r="AD123" s="76"/>
      <c r="AE123" s="51"/>
      <c r="AF123" s="51"/>
      <c r="AG123" s="51"/>
      <c r="AH123" s="51"/>
    </row>
    <row r="124" spans="27:34" x14ac:dyDescent="0.2">
      <c r="AC124" s="40"/>
      <c r="AD124" s="76"/>
      <c r="AE124" s="51"/>
      <c r="AF124" s="51"/>
      <c r="AG124" s="51"/>
      <c r="AH124" s="51"/>
    </row>
    <row r="125" spans="27:34" x14ac:dyDescent="0.2">
      <c r="AD125" s="76"/>
      <c r="AE125" s="51"/>
    </row>
    <row r="126" spans="27:34" x14ac:dyDescent="0.2">
      <c r="AD126" s="76"/>
      <c r="AE126" s="51"/>
    </row>
    <row r="127" spans="27:34" x14ac:dyDescent="0.2">
      <c r="AD127" s="76"/>
      <c r="AE127" s="51"/>
    </row>
  </sheetData>
  <mergeCells count="48">
    <mergeCell ref="C77:D77"/>
    <mergeCell ref="E77:F77"/>
    <mergeCell ref="G77:H77"/>
    <mergeCell ref="I77:J77"/>
    <mergeCell ref="K77:L77"/>
    <mergeCell ref="M77:N77"/>
    <mergeCell ref="C75:D75"/>
    <mergeCell ref="E75:F75"/>
    <mergeCell ref="G75:H75"/>
    <mergeCell ref="I75:J75"/>
    <mergeCell ref="K75:L75"/>
    <mergeCell ref="M75:N75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M73:N73"/>
    <mergeCell ref="C71:D71"/>
    <mergeCell ref="E71:F71"/>
    <mergeCell ref="G71:H71"/>
    <mergeCell ref="I71:J71"/>
    <mergeCell ref="K71:L71"/>
    <mergeCell ref="M71:N71"/>
    <mergeCell ref="C70:D70"/>
    <mergeCell ref="E70:F70"/>
    <mergeCell ref="G70:H70"/>
    <mergeCell ref="I70:J70"/>
    <mergeCell ref="K70:L70"/>
    <mergeCell ref="M70:N70"/>
    <mergeCell ref="C69:D69"/>
    <mergeCell ref="E69:F69"/>
    <mergeCell ref="G69:H69"/>
    <mergeCell ref="I69:J69"/>
    <mergeCell ref="K69:L69"/>
    <mergeCell ref="M69:N69"/>
    <mergeCell ref="C68:D68"/>
    <mergeCell ref="E68:F68"/>
    <mergeCell ref="G68:H68"/>
    <mergeCell ref="I68:J68"/>
    <mergeCell ref="K68:L68"/>
    <mergeCell ref="M68:N68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89" sqref="G89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11" width="11.42578125" style="2" customWidth="1"/>
    <col min="12" max="12" width="10.7109375" style="2" customWidth="1"/>
    <col min="13" max="13" width="9.42578125" style="2" customWidth="1"/>
    <col min="14" max="14" width="2.5703125" style="2" customWidth="1"/>
    <col min="15" max="15" width="35.140625" style="2" customWidth="1"/>
    <col min="16" max="16" width="11.42578125" style="2"/>
    <col min="17" max="17" width="12.28515625" style="2" bestFit="1" customWidth="1"/>
    <col min="18" max="16384" width="11.42578125" style="2"/>
  </cols>
  <sheetData>
    <row r="1" spans="1:14" ht="15.75" x14ac:dyDescent="0.25">
      <c r="A1" s="95" t="s">
        <v>85</v>
      </c>
      <c r="B1" s="84"/>
      <c r="C1" s="85" t="s">
        <v>58</v>
      </c>
      <c r="D1" s="85" t="s">
        <v>59</v>
      </c>
      <c r="E1" s="85" t="s">
        <v>61</v>
      </c>
      <c r="F1" s="85" t="s">
        <v>62</v>
      </c>
      <c r="G1" s="85" t="s">
        <v>63</v>
      </c>
      <c r="H1" s="85" t="s">
        <v>67</v>
      </c>
      <c r="I1" s="85" t="s">
        <v>68</v>
      </c>
      <c r="J1" s="85" t="s">
        <v>84</v>
      </c>
      <c r="K1" s="85" t="s">
        <v>64</v>
      </c>
      <c r="L1" s="1"/>
      <c r="M1" s="1"/>
      <c r="N1" s="1"/>
    </row>
    <row r="2" spans="1:14" ht="15" x14ac:dyDescent="0.25">
      <c r="A2" s="96">
        <v>2018</v>
      </c>
      <c r="B2" s="84" t="s">
        <v>13</v>
      </c>
      <c r="C2" s="86">
        <v>43194</v>
      </c>
      <c r="D2" s="86">
        <v>43194</v>
      </c>
      <c r="E2" s="86">
        <v>43194</v>
      </c>
      <c r="F2" s="139">
        <v>43195</v>
      </c>
      <c r="G2" s="139">
        <v>43195</v>
      </c>
      <c r="H2" s="139">
        <v>43195</v>
      </c>
      <c r="I2" s="139">
        <v>43195</v>
      </c>
      <c r="J2" s="139">
        <v>43195</v>
      </c>
      <c r="K2" s="139">
        <v>43195</v>
      </c>
      <c r="L2" s="3"/>
      <c r="M2" s="3"/>
      <c r="N2" s="3"/>
    </row>
    <row r="3" spans="1:14" ht="15" x14ac:dyDescent="0.25">
      <c r="B3" s="97">
        <v>1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1"/>
    </row>
    <row r="4" spans="1:14" ht="15" x14ac:dyDescent="0.25">
      <c r="B4" s="97">
        <f>1+B3</f>
        <v>2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1"/>
    </row>
    <row r="5" spans="1:14" ht="15" x14ac:dyDescent="0.25">
      <c r="B5" s="97">
        <f t="shared" ref="B5:B66" si="0">1+B4</f>
        <v>3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1"/>
    </row>
    <row r="6" spans="1:14" ht="15" x14ac:dyDescent="0.25">
      <c r="B6" s="97">
        <f t="shared" si="0"/>
        <v>4</v>
      </c>
      <c r="C6" s="4">
        <v>0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1</v>
      </c>
      <c r="J6" s="4">
        <v>0</v>
      </c>
      <c r="K6" s="4">
        <v>0</v>
      </c>
      <c r="L6" s="1"/>
    </row>
    <row r="7" spans="1:14" ht="15" x14ac:dyDescent="0.25">
      <c r="B7" s="97">
        <f t="shared" si="0"/>
        <v>5</v>
      </c>
      <c r="C7" s="4">
        <v>1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"/>
    </row>
    <row r="8" spans="1:14" ht="15" x14ac:dyDescent="0.25">
      <c r="B8" s="97">
        <f t="shared" si="0"/>
        <v>6</v>
      </c>
      <c r="C8" s="4">
        <v>0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1"/>
    </row>
    <row r="9" spans="1:14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1"/>
    </row>
    <row r="10" spans="1:14" ht="15" x14ac:dyDescent="0.25">
      <c r="B10" s="97">
        <f t="shared" si="0"/>
        <v>8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1"/>
    </row>
    <row r="11" spans="1:14" ht="15" x14ac:dyDescent="0.25">
      <c r="B11" s="97">
        <f t="shared" si="0"/>
        <v>9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1"/>
    </row>
    <row r="12" spans="1:14" ht="15" x14ac:dyDescent="0.25">
      <c r="B12" s="97">
        <f t="shared" si="0"/>
        <v>10</v>
      </c>
      <c r="C12" s="4">
        <v>0</v>
      </c>
      <c r="D12" s="4">
        <v>1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1"/>
    </row>
    <row r="13" spans="1:14" ht="15" x14ac:dyDescent="0.25">
      <c r="B13" s="97">
        <f t="shared" si="0"/>
        <v>11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1"/>
    </row>
    <row r="14" spans="1:14" ht="15" x14ac:dyDescent="0.25">
      <c r="B14" s="97">
        <f t="shared" si="0"/>
        <v>12</v>
      </c>
      <c r="C14" s="4">
        <v>0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1"/>
    </row>
    <row r="15" spans="1:14" ht="15" x14ac:dyDescent="0.25">
      <c r="B15" s="97">
        <f t="shared" si="0"/>
        <v>13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1"/>
    </row>
    <row r="16" spans="1:14" ht="15" x14ac:dyDescent="0.25">
      <c r="B16" s="97">
        <f t="shared" si="0"/>
        <v>14</v>
      </c>
      <c r="C16" s="4">
        <v>1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"/>
    </row>
    <row r="17" spans="2:12" ht="15" x14ac:dyDescent="0.25">
      <c r="B17" s="97">
        <f t="shared" si="0"/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"/>
    </row>
    <row r="18" spans="2:12" ht="15" x14ac:dyDescent="0.25">
      <c r="B18" s="97">
        <f t="shared" si="0"/>
        <v>16</v>
      </c>
      <c r="C18" s="4">
        <v>0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1"/>
    </row>
    <row r="19" spans="2:12" ht="15" x14ac:dyDescent="0.25">
      <c r="B19" s="97">
        <f t="shared" si="0"/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1"/>
    </row>
    <row r="20" spans="2:12" ht="15" x14ac:dyDescent="0.25">
      <c r="B20" s="97">
        <f t="shared" si="0"/>
        <v>18</v>
      </c>
      <c r="C20" s="4">
        <v>0</v>
      </c>
      <c r="D20" s="4">
        <v>0</v>
      </c>
      <c r="E20" s="4">
        <v>1</v>
      </c>
      <c r="F20" s="4">
        <v>1</v>
      </c>
      <c r="G20" s="4">
        <v>1</v>
      </c>
      <c r="H20" s="4">
        <v>0</v>
      </c>
      <c r="I20" s="4">
        <v>1</v>
      </c>
      <c r="J20" s="4">
        <v>1</v>
      </c>
      <c r="K20" s="4"/>
      <c r="L20" s="1"/>
    </row>
    <row r="21" spans="2:12" ht="15" x14ac:dyDescent="0.25">
      <c r="B21" s="97">
        <f t="shared" si="0"/>
        <v>19</v>
      </c>
      <c r="C21" s="4">
        <v>1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1"/>
    </row>
    <row r="22" spans="2:12" ht="15" x14ac:dyDescent="0.25">
      <c r="B22" s="97">
        <f t="shared" si="0"/>
        <v>20</v>
      </c>
      <c r="C22" s="4">
        <v>0</v>
      </c>
      <c r="D22" s="4">
        <v>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1"/>
    </row>
    <row r="23" spans="2:12" ht="15" x14ac:dyDescent="0.25">
      <c r="B23" s="97">
        <f t="shared" si="0"/>
        <v>21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/>
      <c r="L23" s="1"/>
    </row>
    <row r="24" spans="2:12" ht="15" x14ac:dyDescent="0.25">
      <c r="B24" s="97">
        <f t="shared" si="0"/>
        <v>22</v>
      </c>
      <c r="C24" s="4"/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/>
      <c r="L24" s="1"/>
    </row>
    <row r="25" spans="2:12" ht="15" x14ac:dyDescent="0.25">
      <c r="B25" s="97">
        <f t="shared" si="0"/>
        <v>23</v>
      </c>
      <c r="C25" s="4"/>
      <c r="D25" s="4">
        <v>1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/>
      <c r="L25" s="1"/>
    </row>
    <row r="26" spans="2:12" ht="15" x14ac:dyDescent="0.25">
      <c r="B26" s="97">
        <f t="shared" si="0"/>
        <v>24</v>
      </c>
      <c r="C26" s="4"/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/>
      <c r="L26" s="1"/>
    </row>
    <row r="27" spans="2:12" ht="15" x14ac:dyDescent="0.25">
      <c r="B27" s="97">
        <v>25</v>
      </c>
      <c r="C27" s="4"/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1"/>
    </row>
    <row r="28" spans="2:12" ht="15" x14ac:dyDescent="0.25">
      <c r="B28" s="97">
        <v>26</v>
      </c>
      <c r="C28" s="4"/>
      <c r="D28" s="4">
        <v>1</v>
      </c>
      <c r="E28" s="4">
        <v>1</v>
      </c>
      <c r="F28" s="4">
        <v>0</v>
      </c>
      <c r="G28" s="4">
        <v>0</v>
      </c>
      <c r="H28" s="4"/>
      <c r="I28" s="4">
        <v>0</v>
      </c>
      <c r="J28" s="4">
        <v>1</v>
      </c>
      <c r="K28" s="4"/>
      <c r="L28" s="1"/>
    </row>
    <row r="29" spans="2:12" ht="15" x14ac:dyDescent="0.25">
      <c r="B29" s="97">
        <v>27</v>
      </c>
      <c r="C29" s="4"/>
      <c r="D29" s="4">
        <v>0</v>
      </c>
      <c r="E29" s="4">
        <v>0</v>
      </c>
      <c r="F29" s="4">
        <v>0</v>
      </c>
      <c r="G29" s="4">
        <v>0</v>
      </c>
      <c r="H29" s="4"/>
      <c r="I29" s="4">
        <v>0</v>
      </c>
      <c r="J29" s="4">
        <v>0</v>
      </c>
      <c r="K29" s="4"/>
      <c r="L29" s="1"/>
    </row>
    <row r="30" spans="2:12" ht="15" x14ac:dyDescent="0.25">
      <c r="B30" s="97">
        <v>28</v>
      </c>
      <c r="C30" s="4"/>
      <c r="D30" s="4">
        <v>0</v>
      </c>
      <c r="E30" s="4">
        <v>1</v>
      </c>
      <c r="F30" s="4">
        <v>0</v>
      </c>
      <c r="G30" s="4">
        <v>0</v>
      </c>
      <c r="H30" s="4"/>
      <c r="I30" s="4">
        <v>1</v>
      </c>
      <c r="J30" s="4">
        <v>0</v>
      </c>
      <c r="K30" s="4"/>
      <c r="L30" s="1"/>
    </row>
    <row r="31" spans="2:12" ht="15" x14ac:dyDescent="0.25">
      <c r="B31" s="97">
        <v>29</v>
      </c>
      <c r="C31" s="4"/>
      <c r="D31" s="4">
        <v>1</v>
      </c>
      <c r="E31" s="4">
        <v>0</v>
      </c>
      <c r="F31" s="4">
        <v>1</v>
      </c>
      <c r="G31" s="4">
        <v>0</v>
      </c>
      <c r="H31" s="4"/>
      <c r="I31" s="4">
        <v>0</v>
      </c>
      <c r="J31" s="4">
        <v>0</v>
      </c>
      <c r="K31" s="4"/>
      <c r="L31" s="1"/>
    </row>
    <row r="32" spans="2:12" ht="15" x14ac:dyDescent="0.25">
      <c r="B32" s="97">
        <v>30</v>
      </c>
      <c r="C32" s="4"/>
      <c r="D32" s="4">
        <v>0</v>
      </c>
      <c r="E32" s="4">
        <v>1</v>
      </c>
      <c r="F32" s="4">
        <v>0</v>
      </c>
      <c r="G32" s="4">
        <v>0</v>
      </c>
      <c r="H32" s="4"/>
      <c r="I32" s="4">
        <v>0</v>
      </c>
      <c r="J32" s="4">
        <v>0</v>
      </c>
      <c r="K32" s="4"/>
      <c r="L32" s="1"/>
    </row>
    <row r="33" spans="2:12" ht="15" x14ac:dyDescent="0.25">
      <c r="B33" s="97">
        <v>31</v>
      </c>
      <c r="C33" s="4"/>
      <c r="D33" s="4">
        <v>0</v>
      </c>
      <c r="E33" s="4">
        <v>0</v>
      </c>
      <c r="F33" s="4">
        <v>0</v>
      </c>
      <c r="G33" s="4">
        <v>0</v>
      </c>
      <c r="H33" s="4"/>
      <c r="I33" s="4"/>
      <c r="J33" s="4">
        <v>1</v>
      </c>
      <c r="K33" s="4"/>
      <c r="L33" s="1"/>
    </row>
    <row r="34" spans="2:12" ht="15" x14ac:dyDescent="0.25">
      <c r="B34" s="97">
        <v>32</v>
      </c>
      <c r="C34" s="4"/>
      <c r="D34" s="4">
        <v>1</v>
      </c>
      <c r="E34" s="4">
        <v>1</v>
      </c>
      <c r="F34" s="4">
        <v>0</v>
      </c>
      <c r="G34" s="4">
        <v>0</v>
      </c>
      <c r="H34" s="4"/>
      <c r="I34" s="4"/>
      <c r="J34" s="4">
        <v>0</v>
      </c>
      <c r="K34" s="4"/>
      <c r="L34" s="1"/>
    </row>
    <row r="35" spans="2:12" ht="15" x14ac:dyDescent="0.25">
      <c r="B35" s="97">
        <v>33</v>
      </c>
      <c r="C35" s="4"/>
      <c r="D35" s="4">
        <v>0</v>
      </c>
      <c r="E35" s="4">
        <v>0</v>
      </c>
      <c r="F35" s="4">
        <v>0</v>
      </c>
      <c r="G35" s="4">
        <v>0</v>
      </c>
      <c r="H35" s="4"/>
      <c r="I35" s="4"/>
      <c r="J35" s="4">
        <v>0</v>
      </c>
      <c r="K35" s="4"/>
      <c r="L35" s="1"/>
    </row>
    <row r="36" spans="2:12" ht="15" x14ac:dyDescent="0.25">
      <c r="B36" s="97">
        <v>34</v>
      </c>
      <c r="C36" s="4"/>
      <c r="D36" s="4">
        <v>0</v>
      </c>
      <c r="E36" s="4">
        <v>1</v>
      </c>
      <c r="F36" s="4">
        <v>1</v>
      </c>
      <c r="G36" s="4">
        <v>0</v>
      </c>
      <c r="H36" s="4"/>
      <c r="I36" s="4"/>
      <c r="J36" s="4">
        <v>0</v>
      </c>
      <c r="K36" s="4"/>
      <c r="L36" s="1"/>
    </row>
    <row r="37" spans="2:12" ht="15" x14ac:dyDescent="0.25">
      <c r="B37" s="97">
        <v>35</v>
      </c>
      <c r="C37" s="4"/>
      <c r="D37" s="4">
        <v>1</v>
      </c>
      <c r="E37" s="4">
        <v>0</v>
      </c>
      <c r="F37" s="4">
        <v>0</v>
      </c>
      <c r="G37" s="4">
        <v>0</v>
      </c>
      <c r="H37" s="4"/>
      <c r="I37" s="4"/>
      <c r="J37" s="4">
        <v>0</v>
      </c>
      <c r="K37" s="4"/>
      <c r="L37" s="1"/>
    </row>
    <row r="38" spans="2:12" ht="15" x14ac:dyDescent="0.25">
      <c r="B38" s="97">
        <v>36</v>
      </c>
      <c r="C38" s="4"/>
      <c r="D38" s="4">
        <v>0</v>
      </c>
      <c r="E38" s="4">
        <v>1</v>
      </c>
      <c r="F38" s="4">
        <v>0</v>
      </c>
      <c r="G38" s="4">
        <v>0</v>
      </c>
      <c r="H38" s="4"/>
      <c r="I38" s="4"/>
      <c r="J38" s="4">
        <v>0</v>
      </c>
      <c r="K38" s="4"/>
      <c r="L38" s="1"/>
    </row>
    <row r="39" spans="2:12" ht="15" x14ac:dyDescent="0.25">
      <c r="B39" s="97">
        <v>37</v>
      </c>
      <c r="C39" s="4"/>
      <c r="D39" s="4"/>
      <c r="E39" s="4">
        <v>0</v>
      </c>
      <c r="F39" s="4"/>
      <c r="G39" s="4">
        <v>0</v>
      </c>
      <c r="H39" s="4"/>
      <c r="I39" s="4"/>
      <c r="J39" s="4">
        <v>1</v>
      </c>
      <c r="K39" s="4"/>
      <c r="L39" s="1"/>
    </row>
    <row r="40" spans="2:12" ht="15" x14ac:dyDescent="0.25">
      <c r="B40" s="97">
        <v>38</v>
      </c>
      <c r="C40" s="4"/>
      <c r="D40" s="4"/>
      <c r="E40" s="4">
        <v>1</v>
      </c>
      <c r="F40" s="4"/>
      <c r="G40" s="4">
        <v>0</v>
      </c>
      <c r="H40" s="4"/>
      <c r="I40" s="4"/>
      <c r="J40" s="4">
        <v>0</v>
      </c>
      <c r="K40" s="4"/>
      <c r="L40" s="1"/>
    </row>
    <row r="41" spans="2:12" ht="15" x14ac:dyDescent="0.25">
      <c r="B41" s="97">
        <f t="shared" si="0"/>
        <v>39</v>
      </c>
      <c r="C41" s="4"/>
      <c r="D41" s="4"/>
      <c r="E41" s="4">
        <v>0</v>
      </c>
      <c r="F41" s="4"/>
      <c r="G41" s="4">
        <v>0</v>
      </c>
      <c r="H41" s="4"/>
      <c r="I41" s="4"/>
      <c r="J41" s="4">
        <v>0</v>
      </c>
      <c r="K41" s="4"/>
      <c r="L41" s="1"/>
    </row>
    <row r="42" spans="2:12" ht="15" x14ac:dyDescent="0.25">
      <c r="B42" s="97">
        <f t="shared" si="0"/>
        <v>40</v>
      </c>
      <c r="C42" s="4"/>
      <c r="D42" s="4"/>
      <c r="E42" s="4">
        <v>1</v>
      </c>
      <c r="F42" s="4"/>
      <c r="G42" s="4">
        <v>0</v>
      </c>
      <c r="H42" s="4"/>
      <c r="I42" s="4"/>
      <c r="J42" s="4">
        <v>0</v>
      </c>
      <c r="K42" s="4"/>
      <c r="L42" s="1"/>
    </row>
    <row r="43" spans="2:12" ht="15" x14ac:dyDescent="0.25">
      <c r="B43" s="97">
        <f t="shared" si="0"/>
        <v>41</v>
      </c>
      <c r="C43" s="4"/>
      <c r="D43" s="4"/>
      <c r="E43" s="4">
        <v>0</v>
      </c>
      <c r="F43" s="4"/>
      <c r="G43" s="4">
        <v>0</v>
      </c>
      <c r="H43" s="4"/>
      <c r="I43" s="4"/>
      <c r="J43" s="4">
        <v>0</v>
      </c>
      <c r="K43" s="4"/>
      <c r="L43" s="1"/>
    </row>
    <row r="44" spans="2:12" ht="15" x14ac:dyDescent="0.25">
      <c r="B44" s="97">
        <f t="shared" si="0"/>
        <v>42</v>
      </c>
      <c r="C44" s="4"/>
      <c r="D44" s="4"/>
      <c r="E44" s="4">
        <v>1</v>
      </c>
      <c r="F44" s="4"/>
      <c r="G44" s="4">
        <v>0</v>
      </c>
      <c r="H44" s="4"/>
      <c r="I44" s="4"/>
      <c r="J44" s="4"/>
      <c r="K44" s="4"/>
      <c r="L44" s="1"/>
    </row>
    <row r="45" spans="2:12" ht="15" x14ac:dyDescent="0.25">
      <c r="B45" s="97">
        <v>43</v>
      </c>
      <c r="C45" s="4"/>
      <c r="D45" s="4"/>
      <c r="E45" s="4">
        <v>0</v>
      </c>
      <c r="F45" s="4"/>
      <c r="G45" s="4">
        <v>0</v>
      </c>
      <c r="H45" s="4"/>
      <c r="I45" s="4"/>
      <c r="J45" s="4"/>
      <c r="K45" s="4"/>
      <c r="L45" s="1"/>
    </row>
    <row r="46" spans="2:12" ht="15" x14ac:dyDescent="0.25">
      <c r="B46" s="97">
        <v>44</v>
      </c>
      <c r="C46" s="4"/>
      <c r="D46" s="4"/>
      <c r="E46" s="4">
        <v>1</v>
      </c>
      <c r="F46" s="4"/>
      <c r="G46" s="4">
        <v>0</v>
      </c>
      <c r="H46" s="4"/>
      <c r="I46" s="4"/>
      <c r="J46" s="4"/>
      <c r="K46" s="4"/>
      <c r="L46" s="1"/>
    </row>
    <row r="47" spans="2:12" ht="15" x14ac:dyDescent="0.25">
      <c r="B47" s="97">
        <v>45</v>
      </c>
      <c r="C47" s="4"/>
      <c r="D47" s="4"/>
      <c r="E47" s="4"/>
      <c r="F47" s="4"/>
      <c r="G47" s="4">
        <v>0</v>
      </c>
      <c r="H47" s="4"/>
      <c r="I47" s="4"/>
      <c r="J47" s="4"/>
      <c r="K47" s="4"/>
      <c r="L47" s="1"/>
    </row>
    <row r="48" spans="2:12" ht="15" x14ac:dyDescent="0.25">
      <c r="B48" s="97">
        <v>46</v>
      </c>
      <c r="C48" s="4"/>
      <c r="D48" s="4"/>
      <c r="E48" s="4"/>
      <c r="F48" s="4"/>
      <c r="G48" s="4">
        <v>0</v>
      </c>
      <c r="H48" s="4"/>
      <c r="I48" s="4"/>
      <c r="J48" s="4"/>
      <c r="K48" s="4"/>
      <c r="L48" s="1"/>
    </row>
    <row r="49" spans="2:18" ht="15" x14ac:dyDescent="0.25">
      <c r="B49" s="97">
        <v>47</v>
      </c>
      <c r="C49" s="4"/>
      <c r="D49" s="4"/>
      <c r="E49" s="4"/>
      <c r="F49" s="4"/>
      <c r="G49" s="4"/>
      <c r="H49" s="4"/>
      <c r="I49" s="4"/>
      <c r="J49" s="4"/>
      <c r="K49" s="4"/>
      <c r="L49" s="1"/>
    </row>
    <row r="50" spans="2:18" ht="15" x14ac:dyDescent="0.25">
      <c r="B50" s="97">
        <v>48</v>
      </c>
      <c r="C50" s="4"/>
      <c r="D50" s="4"/>
      <c r="E50" s="4"/>
      <c r="F50" s="4"/>
      <c r="G50" s="4"/>
      <c r="H50" s="4"/>
      <c r="I50" s="4"/>
      <c r="J50" s="4"/>
      <c r="K50" s="4"/>
      <c r="L50" s="1"/>
    </row>
    <row r="51" spans="2:18" ht="15" x14ac:dyDescent="0.25">
      <c r="B51" s="97">
        <v>49</v>
      </c>
      <c r="C51" s="4"/>
      <c r="D51" s="4"/>
      <c r="E51" s="4"/>
      <c r="F51" s="4"/>
      <c r="G51" s="4"/>
      <c r="H51" s="4"/>
      <c r="I51" s="4"/>
      <c r="J51" s="4"/>
      <c r="K51" s="4"/>
      <c r="L51" s="1"/>
    </row>
    <row r="52" spans="2:18" ht="15" x14ac:dyDescent="0.25">
      <c r="B52" s="97">
        <v>50</v>
      </c>
      <c r="C52" s="4"/>
      <c r="D52" s="4"/>
      <c r="E52" s="4"/>
      <c r="F52" s="4"/>
      <c r="G52" s="4"/>
      <c r="H52" s="4"/>
      <c r="I52" s="4"/>
      <c r="J52" s="4"/>
      <c r="K52" s="4"/>
      <c r="L52" s="1"/>
    </row>
    <row r="53" spans="2:18" ht="15" x14ac:dyDescent="0.25">
      <c r="B53" s="97">
        <v>51</v>
      </c>
      <c r="C53" s="4"/>
      <c r="D53" s="4"/>
      <c r="E53" s="4"/>
      <c r="F53" s="4"/>
      <c r="G53" s="4"/>
      <c r="H53" s="4"/>
      <c r="I53" s="4"/>
      <c r="J53" s="4"/>
      <c r="K53" s="4"/>
      <c r="L53" s="1"/>
    </row>
    <row r="54" spans="2:18" ht="15" x14ac:dyDescent="0.25">
      <c r="B54" s="97">
        <v>52</v>
      </c>
      <c r="C54" s="4"/>
      <c r="D54" s="4"/>
      <c r="E54" s="4"/>
      <c r="F54" s="4"/>
      <c r="G54" s="4"/>
      <c r="H54" s="4"/>
      <c r="I54" s="4"/>
      <c r="J54" s="4"/>
      <c r="K54" s="4"/>
      <c r="L54" s="1"/>
    </row>
    <row r="55" spans="2:18" ht="15" x14ac:dyDescent="0.25">
      <c r="B55" s="97">
        <v>53</v>
      </c>
      <c r="C55" s="4"/>
      <c r="D55" s="4"/>
      <c r="E55" s="4"/>
      <c r="F55" s="4"/>
      <c r="G55" s="4"/>
      <c r="H55" s="4"/>
      <c r="I55" s="4"/>
      <c r="J55" s="4"/>
      <c r="K55" s="4"/>
      <c r="L55" s="1"/>
    </row>
    <row r="56" spans="2:18" ht="15" x14ac:dyDescent="0.25">
      <c r="B56" s="97">
        <v>54</v>
      </c>
      <c r="C56" s="4"/>
      <c r="D56" s="4"/>
      <c r="E56" s="4"/>
      <c r="F56" s="4"/>
      <c r="G56" s="4"/>
      <c r="H56" s="4"/>
      <c r="I56" s="4"/>
      <c r="J56" s="4"/>
      <c r="K56" s="4"/>
      <c r="L56" s="1"/>
    </row>
    <row r="57" spans="2:18" ht="15" x14ac:dyDescent="0.25">
      <c r="B57" s="97">
        <v>55</v>
      </c>
      <c r="C57" s="4"/>
      <c r="D57" s="4"/>
      <c r="E57" s="4"/>
      <c r="F57" s="4"/>
      <c r="G57" s="4"/>
      <c r="H57" s="4"/>
      <c r="I57" s="4"/>
      <c r="J57" s="4"/>
      <c r="K57" s="4"/>
      <c r="L57" s="1"/>
    </row>
    <row r="58" spans="2:18" ht="15" x14ac:dyDescent="0.25">
      <c r="B58" s="97">
        <v>56</v>
      </c>
      <c r="C58" s="4"/>
      <c r="D58" s="4"/>
      <c r="E58" s="4"/>
      <c r="F58" s="4"/>
      <c r="G58" s="4"/>
      <c r="H58" s="4"/>
      <c r="I58" s="4"/>
      <c r="J58" s="4"/>
      <c r="K58" s="4"/>
      <c r="L58" s="1"/>
    </row>
    <row r="59" spans="2:18" ht="15" x14ac:dyDescent="0.25">
      <c r="B59" s="97">
        <v>57</v>
      </c>
      <c r="C59" s="4"/>
      <c r="D59" s="4"/>
      <c r="E59" s="4"/>
      <c r="F59" s="4"/>
      <c r="G59" s="4"/>
      <c r="H59" s="4"/>
      <c r="I59" s="4"/>
      <c r="J59" s="4"/>
      <c r="K59" s="4"/>
      <c r="L59" s="1"/>
    </row>
    <row r="60" spans="2:18" ht="15" x14ac:dyDescent="0.25">
      <c r="B60" s="97">
        <f t="shared" si="0"/>
        <v>58</v>
      </c>
      <c r="C60" s="4"/>
      <c r="D60" s="4"/>
      <c r="E60" s="4"/>
      <c r="F60" s="4"/>
      <c r="G60" s="4"/>
      <c r="H60" s="4"/>
      <c r="I60" s="4"/>
      <c r="J60" s="4"/>
      <c r="K60" s="4"/>
      <c r="L60" s="1"/>
    </row>
    <row r="61" spans="2:18" ht="15" x14ac:dyDescent="0.25">
      <c r="B61" s="97">
        <f t="shared" si="0"/>
        <v>59</v>
      </c>
      <c r="C61" s="4"/>
      <c r="D61" s="4"/>
      <c r="E61" s="4"/>
      <c r="F61" s="4"/>
      <c r="G61" s="4"/>
      <c r="H61" s="4"/>
      <c r="I61" s="4"/>
      <c r="J61" s="4"/>
      <c r="K61" s="4"/>
      <c r="L61" s="1"/>
    </row>
    <row r="62" spans="2:18" ht="15" x14ac:dyDescent="0.25">
      <c r="B62" s="97">
        <f t="shared" si="0"/>
        <v>60</v>
      </c>
      <c r="C62" s="4"/>
      <c r="D62" s="4"/>
      <c r="E62" s="4"/>
      <c r="F62" s="4"/>
      <c r="G62" s="4"/>
      <c r="H62" s="4"/>
      <c r="I62" s="4"/>
      <c r="J62" s="4"/>
      <c r="K62" s="4"/>
      <c r="L62" s="1"/>
    </row>
    <row r="63" spans="2:18" ht="15" x14ac:dyDescent="0.25">
      <c r="B63" s="97">
        <f t="shared" si="0"/>
        <v>61</v>
      </c>
      <c r="C63" s="4"/>
      <c r="D63" s="4"/>
      <c r="E63" s="4"/>
      <c r="F63" s="4"/>
      <c r="G63" s="4"/>
      <c r="H63" s="4"/>
      <c r="I63" s="4"/>
      <c r="J63" s="4"/>
      <c r="K63" s="4"/>
      <c r="L63" s="1"/>
    </row>
    <row r="64" spans="2:18" ht="15.75" x14ac:dyDescent="0.25">
      <c r="B64" s="97">
        <f t="shared" si="0"/>
        <v>62</v>
      </c>
      <c r="C64" s="4"/>
      <c r="D64" s="4"/>
      <c r="E64" s="4"/>
      <c r="F64" s="4"/>
      <c r="G64" s="4"/>
      <c r="H64" s="4"/>
      <c r="I64" s="4"/>
      <c r="J64" s="4"/>
      <c r="K64" s="4"/>
      <c r="L64" s="1"/>
      <c r="O64" s="28" t="s">
        <v>2</v>
      </c>
      <c r="P64" s="29"/>
      <c r="Q64" s="29"/>
      <c r="R64" s="90"/>
    </row>
    <row r="65" spans="1:18" ht="15" x14ac:dyDescent="0.25">
      <c r="B65" s="97">
        <f t="shared" si="0"/>
        <v>63</v>
      </c>
      <c r="C65" s="4"/>
      <c r="D65" s="4"/>
      <c r="E65" s="4"/>
      <c r="F65" s="4"/>
      <c r="G65" s="4"/>
      <c r="H65" s="4"/>
      <c r="I65" s="4"/>
      <c r="J65" s="4"/>
      <c r="K65" s="4"/>
      <c r="L65" s="1"/>
      <c r="O65" s="79" t="s">
        <v>3</v>
      </c>
      <c r="P65" s="80">
        <f>COUNT(C68:K68)</f>
        <v>9</v>
      </c>
      <c r="Q65" s="29"/>
      <c r="R65" s="91"/>
    </row>
    <row r="66" spans="1:18" ht="15" x14ac:dyDescent="0.25">
      <c r="B66" s="97">
        <f t="shared" si="0"/>
        <v>64</v>
      </c>
      <c r="C66" s="4"/>
      <c r="D66" s="4"/>
      <c r="E66" s="4"/>
      <c r="F66" s="4"/>
      <c r="G66" s="4"/>
      <c r="H66" s="4"/>
      <c r="I66" s="4"/>
      <c r="J66" s="4"/>
      <c r="K66" s="4"/>
      <c r="L66" s="1"/>
      <c r="M66" s="1"/>
      <c r="N66" s="1"/>
      <c r="O66" s="79" t="s">
        <v>36</v>
      </c>
      <c r="P66" s="99">
        <f>L69</f>
        <v>294</v>
      </c>
      <c r="Q66" s="29"/>
      <c r="R66" s="91"/>
    </row>
    <row r="67" spans="1:18" ht="15" x14ac:dyDescent="0.25">
      <c r="B67" s="97">
        <f>1+B66</f>
        <v>65</v>
      </c>
      <c r="C67" s="4"/>
      <c r="D67" s="4"/>
      <c r="E67" s="4"/>
      <c r="F67" s="4"/>
      <c r="G67" s="4"/>
      <c r="H67" s="4"/>
      <c r="I67" s="4"/>
      <c r="J67" s="4"/>
      <c r="K67" s="4"/>
      <c r="L67" s="1"/>
      <c r="N67" s="5"/>
      <c r="O67" s="79" t="s">
        <v>4</v>
      </c>
      <c r="P67" s="80">
        <f>SUM(C68:K68)</f>
        <v>66</v>
      </c>
      <c r="Q67" s="29"/>
      <c r="R67" s="91"/>
    </row>
    <row r="68" spans="1:18" ht="15" x14ac:dyDescent="0.25">
      <c r="B68" s="92" t="s">
        <v>0</v>
      </c>
      <c r="C68" s="82">
        <f t="shared" ref="C68:K68" si="1">SUM(C3:C67)</f>
        <v>5</v>
      </c>
      <c r="D68" s="82">
        <f t="shared" si="1"/>
        <v>12</v>
      </c>
      <c r="E68" s="82">
        <f t="shared" si="1"/>
        <v>23</v>
      </c>
      <c r="F68" s="82">
        <f t="shared" si="1"/>
        <v>6</v>
      </c>
      <c r="G68" s="82">
        <f t="shared" si="1"/>
        <v>1</v>
      </c>
      <c r="H68" s="82">
        <f t="shared" si="1"/>
        <v>0</v>
      </c>
      <c r="I68" s="82">
        <f t="shared" si="1"/>
        <v>9</v>
      </c>
      <c r="J68" s="82">
        <f t="shared" si="1"/>
        <v>7</v>
      </c>
      <c r="K68" s="82">
        <f t="shared" si="1"/>
        <v>3</v>
      </c>
      <c r="L68" s="87">
        <f>SUM(C68:K68)</f>
        <v>66</v>
      </c>
      <c r="M68" s="7"/>
      <c r="N68" s="8"/>
      <c r="O68" s="79" t="s">
        <v>5</v>
      </c>
      <c r="P68" s="81">
        <f>AVERAGE(C68:K68)</f>
        <v>7.333333333333333</v>
      </c>
      <c r="Q68" s="29"/>
      <c r="R68" s="91"/>
    </row>
    <row r="69" spans="1:18" ht="15" x14ac:dyDescent="0.25">
      <c r="B69" s="92" t="s">
        <v>31</v>
      </c>
      <c r="C69" s="82">
        <f>COUNT(C3:C67)</f>
        <v>20</v>
      </c>
      <c r="D69" s="82">
        <f t="shared" ref="D69:K69" si="2">COUNT(D3:D67)</f>
        <v>36</v>
      </c>
      <c r="E69" s="82">
        <f t="shared" si="2"/>
        <v>44</v>
      </c>
      <c r="F69" s="82">
        <f t="shared" si="2"/>
        <v>36</v>
      </c>
      <c r="G69" s="82">
        <f t="shared" si="2"/>
        <v>46</v>
      </c>
      <c r="H69" s="82">
        <f t="shared" si="2"/>
        <v>25</v>
      </c>
      <c r="I69" s="82">
        <f t="shared" si="2"/>
        <v>30</v>
      </c>
      <c r="J69" s="82">
        <f t="shared" si="2"/>
        <v>41</v>
      </c>
      <c r="K69" s="82">
        <f t="shared" si="2"/>
        <v>16</v>
      </c>
      <c r="L69" s="87">
        <f>SUM(C69:K69)</f>
        <v>294</v>
      </c>
      <c r="M69" s="7"/>
      <c r="N69" s="8"/>
      <c r="O69" s="79" t="s">
        <v>35</v>
      </c>
      <c r="P69" s="81">
        <f>AVERAGE(C72:K72)</f>
        <v>4.8001428477854685E-2</v>
      </c>
      <c r="Q69" s="29"/>
      <c r="R69" s="91"/>
    </row>
    <row r="70" spans="1:18" ht="17.25" x14ac:dyDescent="0.25">
      <c r="B70" s="92" t="s">
        <v>32</v>
      </c>
      <c r="C70" s="82">
        <f>C69*4.52</f>
        <v>90.399999999999991</v>
      </c>
      <c r="D70" s="82">
        <f t="shared" ref="D70:K70" si="3">D69*4.52</f>
        <v>162.71999999999997</v>
      </c>
      <c r="E70" s="82">
        <f t="shared" si="3"/>
        <v>198.88</v>
      </c>
      <c r="F70" s="82">
        <f t="shared" si="3"/>
        <v>162.71999999999997</v>
      </c>
      <c r="G70" s="82">
        <f t="shared" si="3"/>
        <v>207.92</v>
      </c>
      <c r="H70" s="82">
        <f t="shared" si="3"/>
        <v>112.99999999999999</v>
      </c>
      <c r="I70" s="82">
        <f t="shared" si="3"/>
        <v>135.6</v>
      </c>
      <c r="J70" s="82">
        <f t="shared" si="3"/>
        <v>185.32</v>
      </c>
      <c r="K70" s="82">
        <f t="shared" si="3"/>
        <v>72.319999999999993</v>
      </c>
      <c r="L70" s="82">
        <f>L69*4.52</f>
        <v>1328.8799999999999</v>
      </c>
      <c r="M70" s="7"/>
      <c r="N70" s="8"/>
      <c r="O70" s="79" t="s">
        <v>6</v>
      </c>
      <c r="P70" s="100">
        <f>VAR(C72:K72)</f>
        <v>1.258791165022088E-3</v>
      </c>
      <c r="Q70" s="29"/>
      <c r="R70" s="91"/>
    </row>
    <row r="71" spans="1:18" ht="15" x14ac:dyDescent="0.25">
      <c r="B71" s="92" t="s">
        <v>37</v>
      </c>
      <c r="C71" s="82">
        <f>C70/1000000</f>
        <v>9.0399999999999988E-5</v>
      </c>
      <c r="D71" s="82">
        <f t="shared" ref="D71:L71" si="4">D70/1000000</f>
        <v>1.6271999999999996E-4</v>
      </c>
      <c r="E71" s="82">
        <f t="shared" si="4"/>
        <v>1.9887999999999999E-4</v>
      </c>
      <c r="F71" s="82">
        <f t="shared" si="4"/>
        <v>1.6271999999999996E-4</v>
      </c>
      <c r="G71" s="82">
        <f t="shared" si="4"/>
        <v>2.0791999999999997E-4</v>
      </c>
      <c r="H71" s="82">
        <f t="shared" si="4"/>
        <v>1.1299999999999998E-4</v>
      </c>
      <c r="I71" s="82">
        <f t="shared" si="4"/>
        <v>1.3559999999999999E-4</v>
      </c>
      <c r="J71" s="82">
        <f t="shared" si="4"/>
        <v>1.8531999999999999E-4</v>
      </c>
      <c r="K71" s="82">
        <f t="shared" si="4"/>
        <v>7.2319999999999999E-5</v>
      </c>
      <c r="L71" s="82">
        <f t="shared" si="4"/>
        <v>1.3288799999999999E-3</v>
      </c>
      <c r="M71" s="7"/>
      <c r="N71" s="8"/>
      <c r="O71" s="79"/>
      <c r="P71" s="100"/>
      <c r="Q71" s="29"/>
      <c r="R71" s="91"/>
    </row>
    <row r="72" spans="1:18" ht="15" x14ac:dyDescent="0.25">
      <c r="B72" s="92" t="s">
        <v>33</v>
      </c>
      <c r="C72" s="83">
        <f>C68/C70</f>
        <v>5.5309734513274339E-2</v>
      </c>
      <c r="D72" s="83">
        <f t="shared" ref="D72:L72" si="5">D68/D70</f>
        <v>7.3746312684365795E-2</v>
      </c>
      <c r="E72" s="83">
        <f t="shared" si="5"/>
        <v>0.11564762670957361</v>
      </c>
      <c r="F72" s="83">
        <f t="shared" si="5"/>
        <v>3.6873156342182897E-2</v>
      </c>
      <c r="G72" s="83">
        <f t="shared" si="5"/>
        <v>4.809542131589073E-3</v>
      </c>
      <c r="H72" s="83">
        <f t="shared" si="5"/>
        <v>0</v>
      </c>
      <c r="I72" s="83">
        <f t="shared" si="5"/>
        <v>6.637168141592921E-2</v>
      </c>
      <c r="J72" s="83">
        <f t="shared" si="5"/>
        <v>3.7772501618821501E-2</v>
      </c>
      <c r="K72" s="83">
        <f t="shared" si="5"/>
        <v>4.1482300884955754E-2</v>
      </c>
      <c r="L72" s="83">
        <f t="shared" si="5"/>
        <v>4.9665884052736142E-2</v>
      </c>
      <c r="M72" s="10"/>
      <c r="N72" s="11"/>
      <c r="O72" s="79" t="s">
        <v>7</v>
      </c>
      <c r="P72" s="101">
        <f>SQRT(((P69+P69^2/(P69^2/(P70-P69))))/P66)</f>
        <v>2.0692033737929063E-3</v>
      </c>
      <c r="Q72" s="29"/>
      <c r="R72" s="91"/>
    </row>
    <row r="73" spans="1:18" ht="15" x14ac:dyDescent="0.25">
      <c r="A73" s="12"/>
      <c r="B73" s="92" t="s">
        <v>34</v>
      </c>
      <c r="C73" s="83">
        <f t="shared" ref="C73:K73" si="6">DAYS360($A76,C2)</f>
        <v>143</v>
      </c>
      <c r="D73" s="83">
        <f t="shared" si="6"/>
        <v>143</v>
      </c>
      <c r="E73" s="83">
        <f t="shared" si="6"/>
        <v>143</v>
      </c>
      <c r="F73" s="83">
        <f t="shared" si="6"/>
        <v>144</v>
      </c>
      <c r="G73" s="83">
        <f t="shared" si="6"/>
        <v>144</v>
      </c>
      <c r="H73" s="83">
        <f t="shared" si="6"/>
        <v>144</v>
      </c>
      <c r="I73" s="83">
        <f t="shared" si="6"/>
        <v>144</v>
      </c>
      <c r="J73" s="83">
        <f t="shared" si="6"/>
        <v>144</v>
      </c>
      <c r="K73" s="83">
        <f t="shared" si="6"/>
        <v>144</v>
      </c>
      <c r="L73" s="13"/>
      <c r="M73" s="9"/>
      <c r="N73" s="9"/>
      <c r="R73" s="91"/>
    </row>
    <row r="74" spans="1:18" ht="15.75" thickBot="1" x14ac:dyDescent="0.3">
      <c r="B74" s="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6"/>
      <c r="P74" s="42"/>
      <c r="Q74" s="27"/>
      <c r="R74" s="32"/>
    </row>
    <row r="75" spans="1:18" ht="29.25" thickTop="1" thickBot="1" x14ac:dyDescent="0.4">
      <c r="A75" s="14" t="s">
        <v>12</v>
      </c>
      <c r="C75" s="93" t="s">
        <v>50</v>
      </c>
      <c r="D75" s="89"/>
      <c r="E75" s="89"/>
      <c r="F75" s="89"/>
      <c r="G75" s="89"/>
      <c r="H75" s="89"/>
      <c r="I75" s="89"/>
      <c r="J75" s="89"/>
      <c r="K75" s="89"/>
      <c r="N75" s="17"/>
      <c r="O75" s="43" t="s">
        <v>14</v>
      </c>
      <c r="P75" s="44"/>
      <c r="Q75" s="45"/>
      <c r="R75" s="46"/>
    </row>
    <row r="76" spans="1:18" ht="19.5" thickTop="1" x14ac:dyDescent="0.3">
      <c r="A76" s="139">
        <v>43050</v>
      </c>
      <c r="B76" s="102" t="s">
        <v>51</v>
      </c>
      <c r="C76" s="176" t="str">
        <f>C1&amp;","&amp;E1&amp;","&amp;G1&amp;","&amp;""</f>
        <v>1D,2A,2C,</v>
      </c>
      <c r="D76" s="176"/>
      <c r="E76" s="176" t="str">
        <f>E1&amp;","&amp;G1&amp;","&amp;I1&amp;","&amp;""</f>
        <v>2A,2C,3D,</v>
      </c>
      <c r="F76" s="176"/>
      <c r="G76" s="176" t="str">
        <f>D1&amp;","&amp;H1&amp;","&amp;J1&amp;","&amp;""</f>
        <v>1E,3C,3E,</v>
      </c>
      <c r="H76" s="176"/>
      <c r="I76" s="176" t="s">
        <v>203</v>
      </c>
      <c r="J76" s="176"/>
      <c r="K76" s="136"/>
      <c r="N76" s="21"/>
      <c r="O76" s="52" t="s">
        <v>8</v>
      </c>
      <c r="P76" s="53" t="str">
        <f>+A1</f>
        <v>French Hill</v>
      </c>
      <c r="Q76" s="54"/>
      <c r="R76" s="55"/>
    </row>
    <row r="77" spans="1:18" ht="18.75" x14ac:dyDescent="0.3">
      <c r="A77" s="86"/>
      <c r="B77" s="104" t="s">
        <v>39</v>
      </c>
      <c r="C77" s="176">
        <f>C71+E71+G71</f>
        <v>4.9719999999999994E-4</v>
      </c>
      <c r="D77" s="176"/>
      <c r="E77" s="174">
        <f>E71+G71+I71</f>
        <v>5.4239999999999996E-4</v>
      </c>
      <c r="F77" s="174"/>
      <c r="G77" s="174">
        <f>D71+H71+J71</f>
        <v>4.6103999999999991E-4</v>
      </c>
      <c r="H77" s="174"/>
      <c r="I77" s="174">
        <f>SUM(C71:K71)</f>
        <v>1.3288799999999999E-3</v>
      </c>
      <c r="J77" s="174"/>
      <c r="K77" s="136"/>
      <c r="N77" s="21"/>
      <c r="O77" s="52" t="s">
        <v>9</v>
      </c>
      <c r="P77" s="52">
        <f>A2</f>
        <v>2018</v>
      </c>
      <c r="Q77" s="61"/>
      <c r="R77" s="55"/>
    </row>
    <row r="78" spans="1:18" ht="18.75" x14ac:dyDescent="0.3">
      <c r="A78" s="98" t="s">
        <v>11</v>
      </c>
      <c r="B78" s="104" t="s">
        <v>38</v>
      </c>
      <c r="C78" s="174">
        <f>C68+E68+G68</f>
        <v>29</v>
      </c>
      <c r="D78" s="174"/>
      <c r="E78" s="174">
        <f>E68+G68+I68</f>
        <v>33</v>
      </c>
      <c r="F78" s="174"/>
      <c r="G78" s="174">
        <f>D68+H68+J68</f>
        <v>19</v>
      </c>
      <c r="H78" s="174"/>
      <c r="I78" s="174">
        <f>SUM(C68:K68)</f>
        <v>66</v>
      </c>
      <c r="J78" s="174"/>
      <c r="K78" s="136"/>
      <c r="N78" s="21"/>
      <c r="O78" s="62" t="s">
        <v>10</v>
      </c>
      <c r="P78" s="109">
        <f>P65</f>
        <v>9</v>
      </c>
      <c r="Q78" s="61"/>
      <c r="R78" s="55"/>
    </row>
    <row r="79" spans="1:18" ht="18.75" x14ac:dyDescent="0.3">
      <c r="A79" s="98"/>
      <c r="B79" s="104" t="s">
        <v>40</v>
      </c>
      <c r="C79" s="174">
        <f>AVERAGE(C73,E73,G73)</f>
        <v>143.33333333333334</v>
      </c>
      <c r="D79" s="174"/>
      <c r="E79" s="175">
        <f xml:space="preserve"> AVERAGE(E73,G73,I73)</f>
        <v>143.66666666666666</v>
      </c>
      <c r="F79" s="175"/>
      <c r="G79" s="175">
        <f xml:space="preserve"> AVERAGE(D73,H73,J73)</f>
        <v>143.66666666666666</v>
      </c>
      <c r="H79" s="175"/>
      <c r="I79" s="175">
        <f xml:space="preserve"> AVERAGE(C73:K73)</f>
        <v>143.66666666666666</v>
      </c>
      <c r="J79" s="175"/>
      <c r="K79" s="135"/>
      <c r="N79" s="21"/>
      <c r="O79" s="52" t="s">
        <v>30</v>
      </c>
      <c r="P79" s="105">
        <f>L69</f>
        <v>294</v>
      </c>
      <c r="Q79" s="61"/>
      <c r="R79" s="55"/>
    </row>
    <row r="80" spans="1:18" ht="18.75" x14ac:dyDescent="0.3">
      <c r="A80" s="98"/>
      <c r="B80" s="94" t="s">
        <v>1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6" t="s">
        <v>16</v>
      </c>
      <c r="M80" s="16" t="s">
        <v>15</v>
      </c>
      <c r="N80" s="21"/>
      <c r="O80" s="52" t="s">
        <v>42</v>
      </c>
      <c r="P80" s="105">
        <f>L68</f>
        <v>66</v>
      </c>
      <c r="Q80" s="61"/>
      <c r="R80" s="55"/>
    </row>
    <row r="81" spans="1:20" ht="18.75" x14ac:dyDescent="0.3">
      <c r="A81" s="22"/>
      <c r="B81" s="19">
        <v>10.9</v>
      </c>
      <c r="C81" s="171">
        <f>C78/(B81*C79*C77)</f>
        <v>37.33302482809215</v>
      </c>
      <c r="D81" s="172"/>
      <c r="E81" s="171">
        <f>E78/(B81*E77*E79)</f>
        <v>38.851853784415447</v>
      </c>
      <c r="F81" s="172"/>
      <c r="G81" s="171">
        <f>G78/(B81*G77*G79)</f>
        <v>26.316763704238632</v>
      </c>
      <c r="H81" s="172"/>
      <c r="I81" s="171">
        <f>I78/(B81*I77*I79)</f>
        <v>31.715799007686076</v>
      </c>
      <c r="J81" s="172"/>
      <c r="K81" s="134"/>
      <c r="L81" s="20">
        <f>AVERAGE(C81:K81)</f>
        <v>33.554360331108079</v>
      </c>
      <c r="M81" s="20">
        <f>STDEV(C81:K81)</f>
        <v>5.7185328812513152</v>
      </c>
      <c r="N81" s="21"/>
      <c r="O81" s="52"/>
      <c r="P81" s="105"/>
      <c r="Q81" s="61"/>
      <c r="R81" s="55"/>
    </row>
    <row r="82" spans="1:20" ht="18.75" x14ac:dyDescent="0.3">
      <c r="A82" s="26"/>
      <c r="B82" s="24">
        <v>19.8</v>
      </c>
      <c r="C82" s="171">
        <f>C78/(B82*C79*C77)</f>
        <v>20.552018718495173</v>
      </c>
      <c r="D82" s="172"/>
      <c r="E82" s="171">
        <f>E78/(B82*E77*E79)</f>
        <v>21.388141729804467</v>
      </c>
      <c r="F82" s="172"/>
      <c r="G82" s="171">
        <f>G78/(B82*G77*G79)</f>
        <v>14.487511332131369</v>
      </c>
      <c r="H82" s="172"/>
      <c r="I82" s="171">
        <f>I78/(B82*I77*I79)</f>
        <v>17.459707534534253</v>
      </c>
      <c r="J82" s="172"/>
      <c r="K82" s="134"/>
      <c r="L82" s="20">
        <f>AVERAGE(C82:K82)</f>
        <v>18.471844828741315</v>
      </c>
      <c r="M82" s="20">
        <f>STDEV(C82:K82)</f>
        <v>3.1480812326080612</v>
      </c>
      <c r="N82" s="21"/>
      <c r="O82" s="106" t="s">
        <v>43</v>
      </c>
      <c r="P82" s="63"/>
      <c r="Q82" s="61"/>
      <c r="R82" s="55"/>
    </row>
    <row r="83" spans="1:20" ht="18.75" x14ac:dyDescent="0.3">
      <c r="B83" s="19">
        <v>28.7</v>
      </c>
      <c r="C83" s="171">
        <f>C78/(B83*C79*C77)</f>
        <v>14.178744621122107</v>
      </c>
      <c r="D83" s="172"/>
      <c r="E83" s="171">
        <f>E78/(B83*E77*E79)</f>
        <v>14.755582099307611</v>
      </c>
      <c r="F83" s="172"/>
      <c r="G83" s="171">
        <f>G78/(B83*G77*G79)</f>
        <v>9.9948684451637995</v>
      </c>
      <c r="H83" s="172"/>
      <c r="I83" s="171">
        <f>I78/(B83*I77*I79)</f>
        <v>12.045373142291925</v>
      </c>
      <c r="J83" s="172"/>
      <c r="K83" s="134"/>
      <c r="L83" s="20">
        <f>AVERAGE(C83:K83)</f>
        <v>12.743642076971359</v>
      </c>
      <c r="M83" s="20">
        <f>STDEV(C83:K83)</f>
        <v>2.1718469827749085</v>
      </c>
      <c r="N83" s="21"/>
      <c r="O83" s="62" t="s">
        <v>44</v>
      </c>
      <c r="P83" s="107">
        <f>AVERAGE(C81:J83)</f>
        <v>21.589949078940251</v>
      </c>
      <c r="Q83" s="61" t="s">
        <v>48</v>
      </c>
      <c r="R83" s="110">
        <f>P83/0.386</f>
        <v>55.932510567202719</v>
      </c>
      <c r="S83" s="110" t="s">
        <v>49</v>
      </c>
    </row>
    <row r="84" spans="1:20" ht="18.75" x14ac:dyDescent="0.3">
      <c r="B84" s="19"/>
      <c r="C84" s="23"/>
      <c r="D84" s="23"/>
      <c r="E84" s="23"/>
      <c r="F84" s="23"/>
      <c r="G84" s="23"/>
      <c r="H84" s="23"/>
      <c r="I84" s="23"/>
      <c r="J84" s="23"/>
      <c r="K84" s="23"/>
      <c r="L84" s="20"/>
      <c r="M84" s="20"/>
      <c r="N84" s="21"/>
      <c r="O84" s="71" t="s">
        <v>94</v>
      </c>
      <c r="P84" s="72">
        <f>_xlfn.VAR.S(C81:J83)</f>
        <v>96.954026584517209</v>
      </c>
      <c r="Q84" s="61" t="s">
        <v>48</v>
      </c>
      <c r="R84" s="110">
        <f>P84/0.386</f>
        <v>251.17623467491504</v>
      </c>
      <c r="S84" s="110" t="s">
        <v>49</v>
      </c>
    </row>
    <row r="85" spans="1:20" ht="18.75" x14ac:dyDescent="0.3">
      <c r="B85" s="77" t="s">
        <v>41</v>
      </c>
      <c r="C85" s="173">
        <f>AVERAGE(C81:C83)</f>
        <v>24.021262722569812</v>
      </c>
      <c r="D85" s="173"/>
      <c r="E85" s="173">
        <f>AVERAGE(E81:E83)</f>
        <v>24.998525871175843</v>
      </c>
      <c r="F85" s="173"/>
      <c r="G85" s="173">
        <f>AVERAGE(G81:G83)</f>
        <v>16.933047827177933</v>
      </c>
      <c r="H85" s="173"/>
      <c r="I85" s="173">
        <f>AVERAGE(I81:I83)</f>
        <v>20.406959894837417</v>
      </c>
      <c r="J85" s="173"/>
      <c r="K85" s="133"/>
      <c r="L85" s="20"/>
      <c r="M85" s="20"/>
      <c r="N85" s="21"/>
      <c r="O85" s="71" t="s">
        <v>46</v>
      </c>
      <c r="P85" s="72">
        <f>MAX(C81:J83)</f>
        <v>38.851853784415447</v>
      </c>
      <c r="Q85" s="61" t="s">
        <v>48</v>
      </c>
      <c r="R85" s="110">
        <f>P85/0.386</f>
        <v>100.65247094408147</v>
      </c>
      <c r="S85" s="110" t="s">
        <v>49</v>
      </c>
    </row>
    <row r="86" spans="1:20" ht="18.75" x14ac:dyDescent="0.3">
      <c r="N86" s="21"/>
      <c r="O86" s="71" t="s">
        <v>47</v>
      </c>
      <c r="P86" s="72">
        <f>MIN(C81:J83)</f>
        <v>9.9948684451637995</v>
      </c>
      <c r="Q86" s="108" t="s">
        <v>48</v>
      </c>
      <c r="R86" s="110">
        <f>P86/0.386</f>
        <v>25.893441567781863</v>
      </c>
      <c r="S86" s="110" t="s">
        <v>49</v>
      </c>
    </row>
    <row r="87" spans="1:20" ht="18.75" x14ac:dyDescent="0.3">
      <c r="N87" s="21"/>
      <c r="O87" s="68" t="s">
        <v>53</v>
      </c>
      <c r="P87" s="72">
        <f>COUNT(C81:K83)</f>
        <v>12</v>
      </c>
      <c r="Q87" s="61"/>
      <c r="R87" s="55"/>
    </row>
    <row r="88" spans="1:20" ht="18.75" x14ac:dyDescent="0.3">
      <c r="N88" s="21"/>
      <c r="O88" s="66"/>
      <c r="P88" s="72"/>
      <c r="Q88" s="61"/>
      <c r="R88" s="61"/>
    </row>
    <row r="89" spans="1:20" ht="18.75" x14ac:dyDescent="0.3">
      <c r="A89" s="18"/>
      <c r="N89" s="21"/>
      <c r="O89" s="68" t="s">
        <v>54</v>
      </c>
      <c r="P89" s="69"/>
      <c r="Q89" s="110">
        <f>P83-P92</f>
        <v>13.290005242432342</v>
      </c>
      <c r="R89" s="110">
        <f>P83+P92</f>
        <v>29.889892915448158</v>
      </c>
      <c r="S89" s="111" t="s">
        <v>48</v>
      </c>
      <c r="T89"/>
    </row>
    <row r="90" spans="1:20" ht="18.75" x14ac:dyDescent="0.3">
      <c r="L90" s="9"/>
      <c r="M90" s="9"/>
      <c r="N90" s="21"/>
      <c r="O90" s="71"/>
      <c r="P90" s="74"/>
      <c r="Q90" s="110">
        <f>Q89/0.386</f>
        <v>34.430065394902435</v>
      </c>
      <c r="R90" s="110">
        <f>R89/0.386</f>
        <v>77.434955739502996</v>
      </c>
      <c r="S90" s="111" t="s">
        <v>49</v>
      </c>
    </row>
    <row r="91" spans="1:20" ht="23.25" x14ac:dyDescent="0.35">
      <c r="L91" s="38"/>
      <c r="M91" s="39"/>
      <c r="N91" s="21"/>
      <c r="P91" s="18"/>
    </row>
    <row r="92" spans="1:20" ht="23.25" x14ac:dyDescent="0.35">
      <c r="L92" s="39"/>
      <c r="M92" s="41"/>
      <c r="N92" s="21"/>
      <c r="O92" s="2" t="s">
        <v>52</v>
      </c>
      <c r="P92" s="18">
        <f>2.92*P93</f>
        <v>8.299943836507909</v>
      </c>
    </row>
    <row r="93" spans="1:20" s="18" customFormat="1" ht="23.2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9"/>
      <c r="M93" s="41"/>
      <c r="N93" s="27"/>
      <c r="O93" s="2" t="s">
        <v>96</v>
      </c>
      <c r="P93" s="18">
        <f>SQRT(P84)/SQRT(P87)</f>
        <v>2.8424465193520239</v>
      </c>
    </row>
    <row r="94" spans="1:20" ht="15" x14ac:dyDescent="0.25">
      <c r="L94" s="48"/>
      <c r="M94" s="49"/>
      <c r="P94" s="18"/>
      <c r="Q94" s="31"/>
      <c r="R94" s="31"/>
    </row>
    <row r="95" spans="1:20" ht="17.25" customHeight="1" x14ac:dyDescent="0.25">
      <c r="L95" s="57"/>
      <c r="M95" s="49"/>
      <c r="P95" s="18"/>
      <c r="Q95" s="31"/>
      <c r="R95" s="31"/>
    </row>
    <row r="96" spans="1:20" ht="15.75" customHeight="1" x14ac:dyDescent="0.25">
      <c r="L96" s="57"/>
      <c r="M96" s="49"/>
      <c r="O96" s="18"/>
      <c r="P96" s="18"/>
      <c r="Q96" s="31"/>
      <c r="R96" s="31"/>
      <c r="T96" s="36"/>
    </row>
    <row r="97" spans="1:19" ht="15" customHeight="1" x14ac:dyDescent="0.25">
      <c r="L97" s="57"/>
      <c r="M97" s="49"/>
      <c r="O97" s="30"/>
      <c r="P97" s="31"/>
      <c r="Q97" s="31"/>
      <c r="R97" s="31"/>
    </row>
    <row r="98" spans="1:19" ht="15.75" customHeight="1" x14ac:dyDescent="0.3">
      <c r="L98" s="48"/>
      <c r="M98" s="49"/>
      <c r="O98" s="34"/>
      <c r="P98" s="35"/>
      <c r="Q98" s="31"/>
      <c r="R98" s="31"/>
    </row>
    <row r="99" spans="1:19" ht="16.5" customHeight="1" x14ac:dyDescent="0.3">
      <c r="L99" s="48"/>
      <c r="M99" s="49"/>
      <c r="N99" s="9"/>
      <c r="O99" s="34"/>
      <c r="P99" s="31"/>
    </row>
    <row r="100" spans="1:19" ht="16.5" customHeight="1" x14ac:dyDescent="0.35">
      <c r="L100" s="48"/>
      <c r="M100" s="49"/>
      <c r="N100" s="39"/>
      <c r="O100" s="34"/>
      <c r="P100" s="37"/>
    </row>
    <row r="101" spans="1:19" ht="16.5" customHeight="1" x14ac:dyDescent="0.3">
      <c r="L101" s="48"/>
      <c r="M101" s="49"/>
      <c r="N101" s="41"/>
      <c r="O101" s="34"/>
      <c r="P101" s="31"/>
    </row>
    <row r="102" spans="1:19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48"/>
      <c r="M102" s="49"/>
      <c r="N102" s="41"/>
    </row>
    <row r="103" spans="1:19" x14ac:dyDescent="0.2">
      <c r="A103" s="64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48"/>
      <c r="M103" s="49"/>
      <c r="N103" s="50"/>
      <c r="O103" s="40"/>
      <c r="Q103" s="51"/>
      <c r="R103" s="51"/>
      <c r="S103" s="51"/>
    </row>
    <row r="104" spans="1:19" x14ac:dyDescent="0.2">
      <c r="A104" s="64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48"/>
      <c r="M104" s="49"/>
      <c r="N104" s="50"/>
      <c r="O104" s="40"/>
      <c r="Q104" s="51"/>
      <c r="R104" s="60"/>
      <c r="S104" s="60"/>
    </row>
    <row r="105" spans="1:19" x14ac:dyDescent="0.2">
      <c r="A105" s="64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48"/>
      <c r="M105" s="49"/>
      <c r="N105" s="50"/>
      <c r="O105" s="40"/>
      <c r="Q105" s="51"/>
      <c r="R105" s="60"/>
      <c r="S105" s="60"/>
    </row>
    <row r="106" spans="1:19" x14ac:dyDescent="0.2">
      <c r="A106" s="64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48"/>
      <c r="M106" s="49"/>
      <c r="N106" s="50"/>
      <c r="O106" s="40"/>
      <c r="P106" s="51"/>
      <c r="Q106" s="51"/>
      <c r="R106" s="60"/>
      <c r="S106" s="60"/>
    </row>
    <row r="107" spans="1:19" x14ac:dyDescent="0.2">
      <c r="A107" s="67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48"/>
      <c r="M107" s="49"/>
      <c r="N107" s="50"/>
      <c r="O107" s="58"/>
      <c r="P107" s="59"/>
      <c r="Q107" s="51"/>
      <c r="R107" s="60"/>
      <c r="S107" s="60"/>
    </row>
    <row r="108" spans="1:19" x14ac:dyDescent="0.2">
      <c r="A108" s="67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48"/>
      <c r="M108" s="49"/>
      <c r="N108" s="50"/>
      <c r="O108" s="58"/>
      <c r="P108" s="59"/>
      <c r="Q108" s="51"/>
      <c r="R108" s="60"/>
      <c r="S108" s="60"/>
    </row>
    <row r="109" spans="1:19" x14ac:dyDescent="0.2">
      <c r="A109" s="73"/>
      <c r="L109" s="48"/>
      <c r="M109" s="49"/>
      <c r="N109" s="50"/>
      <c r="O109" s="58"/>
      <c r="P109" s="59"/>
      <c r="Q109" s="51"/>
      <c r="R109" s="60"/>
      <c r="S109" s="60"/>
    </row>
    <row r="110" spans="1:19" x14ac:dyDescent="0.2">
      <c r="A110" s="73"/>
      <c r="B110" s="27"/>
      <c r="C110" s="75"/>
      <c r="D110" s="75"/>
      <c r="E110" s="75"/>
      <c r="F110" s="75"/>
      <c r="G110" s="75"/>
      <c r="H110" s="75"/>
      <c r="I110" s="75"/>
      <c r="J110" s="75"/>
      <c r="K110" s="75"/>
      <c r="L110" s="48"/>
      <c r="M110" s="49"/>
      <c r="N110" s="50"/>
      <c r="O110" s="65"/>
      <c r="P110" s="59"/>
      <c r="Q110" s="51"/>
      <c r="R110" s="60"/>
      <c r="S110" s="60"/>
    </row>
    <row r="111" spans="1:19" s="60" customFormat="1" x14ac:dyDescent="0.2">
      <c r="A111" s="73"/>
      <c r="B111" s="27"/>
      <c r="C111" s="75"/>
      <c r="D111" s="75"/>
      <c r="E111" s="75"/>
      <c r="F111" s="75"/>
      <c r="G111" s="75"/>
      <c r="H111" s="75"/>
      <c r="I111" s="75"/>
      <c r="J111" s="75"/>
      <c r="K111" s="75"/>
      <c r="L111" s="48"/>
      <c r="M111" s="49"/>
      <c r="N111" s="50"/>
      <c r="O111" s="58"/>
      <c r="P111" s="59"/>
      <c r="Q111" s="51"/>
    </row>
    <row r="112" spans="1:19" s="60" customFormat="1" x14ac:dyDescent="0.2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8"/>
      <c r="M112" s="49"/>
      <c r="N112" s="50"/>
      <c r="O112" s="58"/>
      <c r="P112" s="59"/>
      <c r="Q112" s="51"/>
    </row>
    <row r="113" spans="1:19" s="60" customFormat="1" x14ac:dyDescent="0.2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8"/>
      <c r="M113" s="49"/>
      <c r="N113" s="50"/>
      <c r="O113" s="58"/>
      <c r="P113" s="59"/>
      <c r="Q113" s="51"/>
    </row>
    <row r="114" spans="1:19" s="60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8"/>
      <c r="M114" s="49"/>
      <c r="N114" s="50"/>
      <c r="O114" s="58"/>
      <c r="P114" s="59"/>
      <c r="Q114" s="51"/>
    </row>
    <row r="115" spans="1:19" s="60" customFormat="1" x14ac:dyDescent="0.2">
      <c r="A115" s="22"/>
      <c r="B115" s="18"/>
      <c r="C115" s="2"/>
      <c r="D115" s="2"/>
      <c r="E115" s="2"/>
      <c r="F115" s="2"/>
      <c r="G115" s="2"/>
      <c r="H115" s="2"/>
      <c r="I115" s="2"/>
      <c r="J115" s="2"/>
      <c r="K115" s="2"/>
      <c r="L115" s="48"/>
      <c r="M115" s="49"/>
      <c r="N115" s="50"/>
      <c r="O115" s="58"/>
      <c r="P115" s="59"/>
      <c r="Q115" s="51"/>
    </row>
    <row r="116" spans="1:19" s="60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8"/>
      <c r="M116" s="49"/>
      <c r="N116" s="50"/>
      <c r="O116" s="58"/>
      <c r="P116" s="59"/>
      <c r="Q116" s="51"/>
    </row>
    <row r="117" spans="1:19" s="60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8"/>
      <c r="M117" s="49"/>
      <c r="N117" s="50"/>
      <c r="O117" s="58"/>
      <c r="P117" s="59"/>
      <c r="Q117" s="51"/>
    </row>
    <row r="118" spans="1:19" x14ac:dyDescent="0.2">
      <c r="L118" s="48"/>
      <c r="M118" s="49"/>
      <c r="N118" s="50"/>
      <c r="O118" s="58"/>
      <c r="P118" s="59"/>
      <c r="Q118" s="51"/>
      <c r="R118" s="51"/>
      <c r="S118" s="51"/>
    </row>
    <row r="119" spans="1:19" x14ac:dyDescent="0.2">
      <c r="L119" s="48"/>
      <c r="M119" s="49"/>
      <c r="N119" s="50"/>
      <c r="O119" s="58"/>
      <c r="P119" s="59"/>
      <c r="Q119" s="51"/>
      <c r="R119" s="51"/>
      <c r="S119" s="51"/>
    </row>
    <row r="120" spans="1:19" x14ac:dyDescent="0.2">
      <c r="L120" s="48"/>
      <c r="M120" s="49"/>
      <c r="N120" s="50"/>
      <c r="O120" s="58"/>
      <c r="P120" s="59"/>
      <c r="Q120" s="51"/>
      <c r="R120" s="51"/>
      <c r="S120" s="51"/>
    </row>
    <row r="121" spans="1:19" x14ac:dyDescent="0.2">
      <c r="L121" s="48"/>
      <c r="M121" s="49"/>
      <c r="N121" s="50"/>
      <c r="O121" s="58"/>
      <c r="P121" s="51"/>
      <c r="Q121" s="51"/>
      <c r="R121" s="51"/>
      <c r="S121" s="51"/>
    </row>
    <row r="122" spans="1:19" x14ac:dyDescent="0.2">
      <c r="L122" s="40"/>
      <c r="M122" s="50"/>
      <c r="N122" s="50"/>
      <c r="O122" s="58"/>
      <c r="P122" s="51"/>
      <c r="Q122" s="51"/>
      <c r="R122" s="51"/>
      <c r="S122" s="51"/>
    </row>
    <row r="123" spans="1:19" x14ac:dyDescent="0.2">
      <c r="L123" s="40"/>
      <c r="M123" s="40"/>
      <c r="N123" s="50"/>
      <c r="O123" s="58"/>
      <c r="P123" s="51"/>
      <c r="Q123" s="51"/>
      <c r="R123" s="51"/>
      <c r="S123" s="51"/>
    </row>
    <row r="124" spans="1:19" x14ac:dyDescent="0.2">
      <c r="N124" s="50"/>
      <c r="O124" s="58"/>
      <c r="P124" s="51"/>
      <c r="Q124" s="51"/>
      <c r="R124" s="51"/>
      <c r="S124" s="51"/>
    </row>
    <row r="125" spans="1:19" x14ac:dyDescent="0.2">
      <c r="N125" s="50"/>
      <c r="O125" s="76"/>
      <c r="P125" s="51"/>
      <c r="Q125" s="51"/>
      <c r="R125" s="51"/>
      <c r="S125" s="51"/>
    </row>
    <row r="126" spans="1:19" x14ac:dyDescent="0.2">
      <c r="N126" s="50"/>
      <c r="O126" s="76"/>
      <c r="P126" s="51"/>
      <c r="Q126" s="51"/>
      <c r="R126" s="51"/>
      <c r="S126" s="51"/>
    </row>
    <row r="127" spans="1:19" x14ac:dyDescent="0.2">
      <c r="N127" s="50"/>
      <c r="O127" s="76"/>
      <c r="P127" s="51"/>
      <c r="Q127" s="51"/>
      <c r="R127" s="51"/>
      <c r="S127" s="51"/>
    </row>
    <row r="128" spans="1:19" x14ac:dyDescent="0.2">
      <c r="N128" s="50"/>
      <c r="O128" s="76"/>
      <c r="P128" s="51"/>
      <c r="Q128" s="51"/>
      <c r="R128" s="51"/>
      <c r="S128" s="51"/>
    </row>
    <row r="129" spans="14:19" x14ac:dyDescent="0.2">
      <c r="N129" s="50"/>
      <c r="O129" s="76"/>
      <c r="P129" s="51"/>
      <c r="Q129" s="51"/>
      <c r="R129" s="51"/>
      <c r="S129" s="51"/>
    </row>
    <row r="130" spans="14:19" x14ac:dyDescent="0.2">
      <c r="N130" s="50"/>
      <c r="O130" s="76"/>
      <c r="P130" s="51"/>
      <c r="Q130" s="51"/>
      <c r="R130" s="51"/>
      <c r="S130" s="51"/>
    </row>
    <row r="131" spans="14:19" x14ac:dyDescent="0.2">
      <c r="N131" s="50"/>
      <c r="O131" s="76"/>
      <c r="P131" s="51"/>
      <c r="Q131" s="51"/>
      <c r="R131" s="51"/>
      <c r="S131" s="51"/>
    </row>
    <row r="132" spans="14:19" x14ac:dyDescent="0.2">
      <c r="N132" s="40"/>
      <c r="O132" s="76"/>
      <c r="P132" s="51"/>
      <c r="Q132" s="51"/>
      <c r="R132" s="51"/>
      <c r="S132" s="51"/>
    </row>
    <row r="133" spans="14:19" x14ac:dyDescent="0.2">
      <c r="O133" s="76"/>
      <c r="P133" s="51"/>
    </row>
    <row r="134" spans="14:19" x14ac:dyDescent="0.2">
      <c r="O134" s="76"/>
      <c r="P134" s="51"/>
    </row>
    <row r="135" spans="14:19" x14ac:dyDescent="0.2">
      <c r="O135" s="76"/>
      <c r="P135" s="51"/>
    </row>
  </sheetData>
  <mergeCells count="32"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5:D85"/>
    <mergeCell ref="E85:F85"/>
    <mergeCell ref="G85:H85"/>
    <mergeCell ref="I85:J8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I88" sqref="I88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10" width="11.42578125" style="2" customWidth="1"/>
    <col min="11" max="11" width="10.7109375" style="2" customWidth="1"/>
    <col min="12" max="12" width="9.42578125" style="2" customWidth="1"/>
    <col min="13" max="13" width="2.5703125" style="2" customWidth="1"/>
    <col min="14" max="14" width="35.140625" style="2" customWidth="1"/>
    <col min="15" max="15" width="11.42578125" style="2"/>
    <col min="16" max="16" width="12.28515625" style="2" bestFit="1" customWidth="1"/>
    <col min="17" max="16384" width="11.42578125" style="2"/>
  </cols>
  <sheetData>
    <row r="1" spans="1:13" ht="15.75" x14ac:dyDescent="0.25">
      <c r="A1" s="95" t="s">
        <v>86</v>
      </c>
      <c r="B1" s="84"/>
      <c r="C1" s="85" t="s">
        <v>55</v>
      </c>
      <c r="D1" s="85" t="s">
        <v>56</v>
      </c>
      <c r="E1" s="85" t="s">
        <v>57</v>
      </c>
      <c r="F1" s="85" t="s">
        <v>58</v>
      </c>
      <c r="G1" s="85" t="s">
        <v>59</v>
      </c>
      <c r="H1" s="85" t="s">
        <v>61</v>
      </c>
      <c r="I1" s="85" t="s">
        <v>62</v>
      </c>
      <c r="J1" s="85" t="s">
        <v>63</v>
      </c>
      <c r="K1" s="1"/>
      <c r="L1" s="1"/>
      <c r="M1" s="1"/>
    </row>
    <row r="2" spans="1:13" ht="15" x14ac:dyDescent="0.25">
      <c r="A2" s="96">
        <v>2016</v>
      </c>
      <c r="B2" s="84" t="s">
        <v>13</v>
      </c>
      <c r="C2" s="86">
        <v>42404</v>
      </c>
      <c r="D2" s="86">
        <v>42404</v>
      </c>
      <c r="E2" s="86">
        <v>42404</v>
      </c>
      <c r="F2" s="86">
        <v>42404</v>
      </c>
      <c r="G2" s="86">
        <v>42404</v>
      </c>
      <c r="H2" s="86">
        <v>42404</v>
      </c>
      <c r="I2" s="86">
        <v>42404</v>
      </c>
      <c r="J2" s="86">
        <v>42404</v>
      </c>
      <c r="K2" s="3"/>
      <c r="L2" s="3"/>
      <c r="M2" s="3"/>
    </row>
    <row r="3" spans="1:13" ht="15" x14ac:dyDescent="0.25">
      <c r="A3" s="112" t="s">
        <v>124</v>
      </c>
      <c r="B3" s="97">
        <v>1</v>
      </c>
      <c r="C3" s="4">
        <v>0</v>
      </c>
      <c r="D3" s="4">
        <v>1</v>
      </c>
      <c r="E3" s="4">
        <v>0</v>
      </c>
      <c r="F3" s="4">
        <v>0</v>
      </c>
      <c r="G3" s="4">
        <v>1</v>
      </c>
      <c r="H3" s="4">
        <v>0</v>
      </c>
      <c r="I3" s="4">
        <v>1</v>
      </c>
      <c r="J3" s="4">
        <v>0</v>
      </c>
      <c r="K3" s="1"/>
    </row>
    <row r="4" spans="1:13" ht="15" x14ac:dyDescent="0.25">
      <c r="B4" s="97">
        <f>1+B3</f>
        <v>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0</v>
      </c>
      <c r="K4" s="1"/>
    </row>
    <row r="5" spans="1:13" ht="15" x14ac:dyDescent="0.25">
      <c r="B5" s="97">
        <f t="shared" ref="B5:B66" si="0">1+B4</f>
        <v>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1"/>
    </row>
    <row r="6" spans="1:13" ht="15" x14ac:dyDescent="0.25">
      <c r="B6" s="97">
        <f t="shared" si="0"/>
        <v>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"/>
    </row>
    <row r="7" spans="1:13" ht="15" x14ac:dyDescent="0.25">
      <c r="B7" s="97">
        <f t="shared" si="0"/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"/>
    </row>
    <row r="8" spans="1:13" ht="15" x14ac:dyDescent="0.25">
      <c r="B8" s="97">
        <f t="shared" si="0"/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1"/>
    </row>
    <row r="9" spans="1:13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"/>
    </row>
    <row r="10" spans="1:13" ht="15" x14ac:dyDescent="0.25">
      <c r="B10" s="97">
        <f t="shared" si="0"/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"/>
    </row>
    <row r="11" spans="1:13" ht="15" x14ac:dyDescent="0.25">
      <c r="B11" s="97">
        <f t="shared" si="0"/>
        <v>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"/>
    </row>
    <row r="12" spans="1:13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"/>
    </row>
    <row r="13" spans="1:13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"/>
    </row>
    <row r="14" spans="1:13" ht="15" x14ac:dyDescent="0.25">
      <c r="B14" s="97">
        <f t="shared" si="0"/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"/>
    </row>
    <row r="15" spans="1:13" ht="15" x14ac:dyDescent="0.25">
      <c r="B15" s="97">
        <f t="shared" si="0"/>
        <v>13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"/>
    </row>
    <row r="16" spans="1:13" ht="15" x14ac:dyDescent="0.25">
      <c r="B16" s="97">
        <f t="shared" si="0"/>
        <v>14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1"/>
    </row>
    <row r="17" spans="2:11" ht="15" x14ac:dyDescent="0.25">
      <c r="B17" s="97">
        <f t="shared" si="0"/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"/>
    </row>
    <row r="18" spans="2:11" ht="15" x14ac:dyDescent="0.25">
      <c r="B18" s="97">
        <f t="shared" si="0"/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"/>
    </row>
    <row r="19" spans="2:11" ht="15" x14ac:dyDescent="0.25">
      <c r="B19" s="97">
        <f t="shared" si="0"/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"/>
    </row>
    <row r="20" spans="2:11" ht="15" x14ac:dyDescent="0.25">
      <c r="B20" s="97">
        <f t="shared" si="0"/>
        <v>18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"/>
    </row>
    <row r="21" spans="2:11" ht="15" x14ac:dyDescent="0.25">
      <c r="B21" s="97">
        <f t="shared" si="0"/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"/>
    </row>
    <row r="22" spans="2:11" ht="15" x14ac:dyDescent="0.25">
      <c r="B22" s="97">
        <f t="shared" si="0"/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"/>
    </row>
    <row r="23" spans="2:11" ht="15" x14ac:dyDescent="0.25">
      <c r="B23" s="97">
        <f t="shared" si="0"/>
        <v>21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/>
      <c r="K23" s="1"/>
    </row>
    <row r="24" spans="2:11" ht="15" x14ac:dyDescent="0.25">
      <c r="B24" s="97">
        <f t="shared" si="0"/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/>
      <c r="K24" s="1"/>
    </row>
    <row r="25" spans="2:11" ht="15" x14ac:dyDescent="0.25">
      <c r="B25" s="97">
        <f t="shared" si="0"/>
        <v>23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/>
      <c r="K25" s="1"/>
    </row>
    <row r="26" spans="2:11" ht="15" x14ac:dyDescent="0.25">
      <c r="B26" s="97">
        <f t="shared" si="0"/>
        <v>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/>
      <c r="K26" s="1"/>
    </row>
    <row r="27" spans="2:11" ht="15" x14ac:dyDescent="0.25">
      <c r="B27" s="97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/>
      <c r="K27" s="1"/>
    </row>
    <row r="28" spans="2:11" ht="15" x14ac:dyDescent="0.25">
      <c r="B28" s="97">
        <v>26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/>
      <c r="K28" s="1"/>
    </row>
    <row r="29" spans="2:11" ht="15" x14ac:dyDescent="0.25">
      <c r="B29" s="97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/>
      <c r="K29" s="1"/>
    </row>
    <row r="30" spans="2:11" ht="15" x14ac:dyDescent="0.25">
      <c r="B30" s="97">
        <v>28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/>
      <c r="K30" s="1"/>
    </row>
    <row r="31" spans="2:11" ht="15" x14ac:dyDescent="0.25">
      <c r="B31" s="97">
        <v>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/>
      <c r="K31" s="1"/>
    </row>
    <row r="32" spans="2:11" ht="15" x14ac:dyDescent="0.25">
      <c r="B32" s="97">
        <v>30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/>
      <c r="K32" s="1"/>
    </row>
    <row r="33" spans="2:11" ht="15" x14ac:dyDescent="0.25">
      <c r="B33" s="97">
        <v>31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/>
      <c r="K33" s="1"/>
    </row>
    <row r="34" spans="2:11" ht="15" x14ac:dyDescent="0.25">
      <c r="B34" s="97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/>
      <c r="K34" s="1"/>
    </row>
    <row r="35" spans="2:11" ht="15" x14ac:dyDescent="0.25">
      <c r="B35" s="97">
        <v>33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/>
      <c r="K35" s="1"/>
    </row>
    <row r="36" spans="2:11" ht="15" x14ac:dyDescent="0.25">
      <c r="B36" s="97">
        <v>34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/>
      <c r="K36" s="1"/>
    </row>
    <row r="37" spans="2:11" ht="15" x14ac:dyDescent="0.25">
      <c r="B37" s="97">
        <v>35</v>
      </c>
      <c r="C37" s="4">
        <v>0</v>
      </c>
      <c r="D37" s="4">
        <v>0</v>
      </c>
      <c r="E37" s="4">
        <v>0</v>
      </c>
      <c r="F37" s="4"/>
      <c r="G37" s="4">
        <v>0</v>
      </c>
      <c r="H37" s="4">
        <v>0</v>
      </c>
      <c r="I37" s="4">
        <v>0</v>
      </c>
      <c r="J37" s="4"/>
      <c r="K37" s="1"/>
    </row>
    <row r="38" spans="2:11" ht="15" x14ac:dyDescent="0.25">
      <c r="B38" s="97">
        <v>36</v>
      </c>
      <c r="C38" s="4">
        <v>0</v>
      </c>
      <c r="D38" s="4">
        <v>0</v>
      </c>
      <c r="E38" s="4">
        <v>0</v>
      </c>
      <c r="F38" s="4"/>
      <c r="G38" s="4">
        <v>0</v>
      </c>
      <c r="H38" s="4">
        <v>0</v>
      </c>
      <c r="I38" s="4">
        <v>0</v>
      </c>
      <c r="J38" s="4"/>
      <c r="K38" s="1"/>
    </row>
    <row r="39" spans="2:11" ht="15" x14ac:dyDescent="0.25">
      <c r="B39" s="97">
        <v>37</v>
      </c>
      <c r="C39" s="4">
        <v>0</v>
      </c>
      <c r="D39" s="4">
        <v>0</v>
      </c>
      <c r="E39" s="4">
        <v>0</v>
      </c>
      <c r="F39" s="4"/>
      <c r="G39" s="4">
        <v>0</v>
      </c>
      <c r="H39" s="4">
        <v>0</v>
      </c>
      <c r="I39" s="4">
        <v>0</v>
      </c>
      <c r="J39" s="4"/>
      <c r="K39" s="1"/>
    </row>
    <row r="40" spans="2:11" ht="15" x14ac:dyDescent="0.25">
      <c r="B40" s="97">
        <v>38</v>
      </c>
      <c r="C40" s="4">
        <v>0</v>
      </c>
      <c r="D40" s="4">
        <v>0</v>
      </c>
      <c r="E40" s="4">
        <v>0</v>
      </c>
      <c r="F40" s="4"/>
      <c r="G40" s="4">
        <v>0</v>
      </c>
      <c r="H40" s="4">
        <v>0</v>
      </c>
      <c r="I40" s="4">
        <v>0</v>
      </c>
      <c r="J40" s="4"/>
      <c r="K40" s="1"/>
    </row>
    <row r="41" spans="2:11" ht="15" x14ac:dyDescent="0.25">
      <c r="B41" s="97">
        <f t="shared" si="0"/>
        <v>39</v>
      </c>
      <c r="C41" s="4">
        <v>0</v>
      </c>
      <c r="D41" s="4">
        <v>0</v>
      </c>
      <c r="E41" s="4"/>
      <c r="F41" s="4"/>
      <c r="G41" s="4">
        <v>0</v>
      </c>
      <c r="H41" s="4">
        <v>0</v>
      </c>
      <c r="I41" s="4">
        <v>0</v>
      </c>
      <c r="J41" s="4"/>
      <c r="K41" s="1"/>
    </row>
    <row r="42" spans="2:11" ht="15" x14ac:dyDescent="0.25">
      <c r="B42" s="97">
        <f t="shared" si="0"/>
        <v>40</v>
      </c>
      <c r="C42" s="4">
        <v>0</v>
      </c>
      <c r="D42" s="4">
        <v>0</v>
      </c>
      <c r="E42" s="4"/>
      <c r="F42" s="4"/>
      <c r="G42" s="4">
        <v>0</v>
      </c>
      <c r="H42" s="4">
        <v>0</v>
      </c>
      <c r="I42" s="4">
        <v>0</v>
      </c>
      <c r="J42" s="4"/>
      <c r="K42" s="1"/>
    </row>
    <row r="43" spans="2:11" ht="15" x14ac:dyDescent="0.25">
      <c r="B43" s="97">
        <f t="shared" si="0"/>
        <v>41</v>
      </c>
      <c r="C43" s="4">
        <v>0</v>
      </c>
      <c r="D43" s="4"/>
      <c r="E43" s="4"/>
      <c r="F43" s="4"/>
      <c r="G43" s="4">
        <v>0</v>
      </c>
      <c r="H43" s="4">
        <v>0</v>
      </c>
      <c r="I43" s="4">
        <v>0</v>
      </c>
      <c r="J43" s="4"/>
      <c r="K43" s="1"/>
    </row>
    <row r="44" spans="2:11" ht="15" x14ac:dyDescent="0.25">
      <c r="B44" s="97">
        <f t="shared" si="0"/>
        <v>42</v>
      </c>
      <c r="C44" s="4">
        <v>0</v>
      </c>
      <c r="D44" s="4"/>
      <c r="E44" s="4"/>
      <c r="F44" s="4"/>
      <c r="G44" s="4">
        <v>0</v>
      </c>
      <c r="H44" s="4">
        <v>0</v>
      </c>
      <c r="I44" s="4">
        <v>0</v>
      </c>
      <c r="J44" s="4"/>
      <c r="K44" s="1"/>
    </row>
    <row r="45" spans="2:11" ht="15" x14ac:dyDescent="0.25">
      <c r="B45" s="97">
        <v>43</v>
      </c>
      <c r="C45" s="4">
        <v>0</v>
      </c>
      <c r="D45" s="4"/>
      <c r="E45" s="4"/>
      <c r="F45" s="4"/>
      <c r="G45" s="4">
        <v>0</v>
      </c>
      <c r="H45" s="4">
        <v>0</v>
      </c>
      <c r="I45" s="4">
        <v>0</v>
      </c>
      <c r="J45" s="4"/>
      <c r="K45" s="1"/>
    </row>
    <row r="46" spans="2:11" ht="15" x14ac:dyDescent="0.25">
      <c r="B46" s="97">
        <v>44</v>
      </c>
      <c r="C46" s="4"/>
      <c r="D46" s="4"/>
      <c r="E46" s="4"/>
      <c r="F46" s="4"/>
      <c r="G46" s="4">
        <v>0</v>
      </c>
      <c r="H46" s="4">
        <v>0</v>
      </c>
      <c r="I46" s="4">
        <v>0</v>
      </c>
      <c r="J46" s="4"/>
      <c r="K46" s="1"/>
    </row>
    <row r="47" spans="2:11" ht="15" x14ac:dyDescent="0.25">
      <c r="B47" s="97">
        <v>45</v>
      </c>
      <c r="C47" s="4"/>
      <c r="D47" s="4"/>
      <c r="E47" s="4"/>
      <c r="F47" s="4"/>
      <c r="G47" s="4">
        <v>0</v>
      </c>
      <c r="H47" s="4">
        <v>0</v>
      </c>
      <c r="I47" s="4">
        <v>0</v>
      </c>
      <c r="J47" s="4"/>
      <c r="K47" s="1"/>
    </row>
    <row r="48" spans="2:11" ht="15" x14ac:dyDescent="0.25">
      <c r="B48" s="97">
        <v>46</v>
      </c>
      <c r="C48" s="4"/>
      <c r="D48" s="4"/>
      <c r="E48" s="4"/>
      <c r="F48" s="4"/>
      <c r="G48" s="4">
        <v>0</v>
      </c>
      <c r="H48" s="4">
        <v>0</v>
      </c>
      <c r="I48" s="4">
        <v>0</v>
      </c>
      <c r="J48" s="4"/>
      <c r="K48" s="1"/>
    </row>
    <row r="49" spans="2:17" ht="15" x14ac:dyDescent="0.25">
      <c r="B49" s="97">
        <v>47</v>
      </c>
      <c r="C49" s="4"/>
      <c r="D49" s="4"/>
      <c r="E49" s="4"/>
      <c r="F49" s="4"/>
      <c r="G49" s="4">
        <v>0</v>
      </c>
      <c r="H49" s="4">
        <v>0</v>
      </c>
      <c r="I49" s="4">
        <v>0</v>
      </c>
      <c r="J49" s="4"/>
      <c r="K49" s="1"/>
    </row>
    <row r="50" spans="2:17" ht="15" x14ac:dyDescent="0.25">
      <c r="B50" s="97">
        <v>48</v>
      </c>
      <c r="C50" s="4"/>
      <c r="D50" s="4"/>
      <c r="E50" s="4"/>
      <c r="F50" s="4"/>
      <c r="G50" s="4">
        <v>0</v>
      </c>
      <c r="H50" s="4">
        <v>0</v>
      </c>
      <c r="I50" s="4">
        <v>0</v>
      </c>
      <c r="J50" s="4"/>
      <c r="K50" s="1"/>
    </row>
    <row r="51" spans="2:17" ht="15" x14ac:dyDescent="0.25">
      <c r="B51" s="97">
        <v>49</v>
      </c>
      <c r="C51" s="4"/>
      <c r="D51" s="4"/>
      <c r="E51" s="4"/>
      <c r="F51" s="4"/>
      <c r="G51" s="4">
        <v>0</v>
      </c>
      <c r="H51" s="4"/>
      <c r="I51" s="4">
        <v>0</v>
      </c>
      <c r="J51" s="4"/>
      <c r="K51" s="1"/>
    </row>
    <row r="52" spans="2:17" ht="15" x14ac:dyDescent="0.25">
      <c r="B52" s="97">
        <v>50</v>
      </c>
      <c r="C52" s="4"/>
      <c r="D52" s="4"/>
      <c r="E52" s="4"/>
      <c r="F52" s="4"/>
      <c r="G52" s="4"/>
      <c r="H52" s="4"/>
      <c r="I52" s="4">
        <v>0</v>
      </c>
      <c r="J52" s="4"/>
      <c r="K52" s="1"/>
    </row>
    <row r="53" spans="2:17" ht="15" x14ac:dyDescent="0.25">
      <c r="B53" s="97">
        <v>51</v>
      </c>
      <c r="C53" s="4"/>
      <c r="D53" s="4"/>
      <c r="E53" s="4"/>
      <c r="F53" s="4"/>
      <c r="G53" s="4"/>
      <c r="H53" s="4"/>
      <c r="I53" s="4">
        <v>0</v>
      </c>
      <c r="J53" s="4"/>
      <c r="K53" s="1"/>
    </row>
    <row r="54" spans="2:17" ht="15" x14ac:dyDescent="0.25">
      <c r="B54" s="97">
        <v>52</v>
      </c>
      <c r="C54" s="4"/>
      <c r="D54" s="4"/>
      <c r="E54" s="4"/>
      <c r="F54" s="4"/>
      <c r="G54" s="4"/>
      <c r="H54" s="4"/>
      <c r="I54" s="4">
        <v>0</v>
      </c>
      <c r="J54" s="4"/>
      <c r="K54" s="1"/>
    </row>
    <row r="55" spans="2:17" ht="15" x14ac:dyDescent="0.25">
      <c r="B55" s="97">
        <v>53</v>
      </c>
      <c r="C55" s="4"/>
      <c r="D55" s="4"/>
      <c r="E55" s="4"/>
      <c r="F55" s="4"/>
      <c r="G55" s="4"/>
      <c r="H55" s="4"/>
      <c r="I55" s="4">
        <v>0</v>
      </c>
      <c r="J55" s="4"/>
      <c r="K55" s="1"/>
    </row>
    <row r="56" spans="2:17" ht="15" x14ac:dyDescent="0.25">
      <c r="B56" s="97">
        <v>54</v>
      </c>
      <c r="C56" s="4"/>
      <c r="D56" s="4"/>
      <c r="E56" s="4"/>
      <c r="F56" s="4"/>
      <c r="G56" s="4"/>
      <c r="H56" s="4"/>
      <c r="I56" s="4">
        <v>0</v>
      </c>
      <c r="J56" s="4"/>
      <c r="K56" s="1"/>
    </row>
    <row r="57" spans="2:17" ht="15" x14ac:dyDescent="0.25">
      <c r="B57" s="97">
        <v>55</v>
      </c>
      <c r="C57" s="4"/>
      <c r="D57" s="4"/>
      <c r="E57" s="4"/>
      <c r="F57" s="4"/>
      <c r="G57" s="4"/>
      <c r="H57" s="4"/>
      <c r="I57" s="4"/>
      <c r="J57" s="4"/>
      <c r="K57" s="1"/>
    </row>
    <row r="58" spans="2:17" ht="15" x14ac:dyDescent="0.25">
      <c r="B58" s="97">
        <v>56</v>
      </c>
      <c r="C58" s="4"/>
      <c r="D58" s="4"/>
      <c r="E58" s="4"/>
      <c r="F58" s="4"/>
      <c r="G58" s="4"/>
      <c r="H58" s="4"/>
      <c r="I58" s="4"/>
      <c r="J58" s="4"/>
      <c r="K58" s="1"/>
    </row>
    <row r="59" spans="2:17" ht="15" x14ac:dyDescent="0.25">
      <c r="B59" s="97">
        <v>57</v>
      </c>
      <c r="C59" s="4"/>
      <c r="D59" s="4"/>
      <c r="E59" s="4"/>
      <c r="F59" s="4"/>
      <c r="G59" s="4"/>
      <c r="H59" s="4"/>
      <c r="I59" s="4"/>
      <c r="J59" s="4"/>
      <c r="K59" s="1"/>
    </row>
    <row r="60" spans="2:17" ht="15" x14ac:dyDescent="0.25">
      <c r="B60" s="97">
        <f t="shared" si="0"/>
        <v>58</v>
      </c>
      <c r="C60" s="4"/>
      <c r="D60" s="4"/>
      <c r="E60" s="4"/>
      <c r="F60" s="4"/>
      <c r="G60" s="4"/>
      <c r="H60" s="4"/>
      <c r="I60" s="4"/>
      <c r="J60" s="4"/>
      <c r="K60" s="1"/>
    </row>
    <row r="61" spans="2:17" ht="15" x14ac:dyDescent="0.25">
      <c r="B61" s="97">
        <f t="shared" si="0"/>
        <v>59</v>
      </c>
      <c r="C61" s="4"/>
      <c r="D61" s="4"/>
      <c r="E61" s="4"/>
      <c r="F61" s="4"/>
      <c r="G61" s="4"/>
      <c r="H61" s="4"/>
      <c r="I61" s="4"/>
      <c r="J61" s="4"/>
      <c r="K61" s="1"/>
    </row>
    <row r="62" spans="2:17" ht="15" x14ac:dyDescent="0.25">
      <c r="B62" s="97">
        <f t="shared" si="0"/>
        <v>60</v>
      </c>
      <c r="C62" s="4"/>
      <c r="D62" s="4"/>
      <c r="E62" s="4"/>
      <c r="F62" s="4"/>
      <c r="G62" s="4"/>
      <c r="H62" s="4"/>
      <c r="I62" s="4"/>
      <c r="J62" s="4"/>
      <c r="K62" s="1"/>
    </row>
    <row r="63" spans="2:17" ht="15" x14ac:dyDescent="0.25">
      <c r="B63" s="97">
        <f t="shared" si="0"/>
        <v>61</v>
      </c>
      <c r="C63" s="4"/>
      <c r="D63" s="4"/>
      <c r="E63" s="4"/>
      <c r="F63" s="4"/>
      <c r="G63" s="4"/>
      <c r="H63" s="4"/>
      <c r="I63" s="4"/>
      <c r="J63" s="4"/>
      <c r="K63" s="1"/>
    </row>
    <row r="64" spans="2:17" ht="15.75" x14ac:dyDescent="0.25">
      <c r="B64" s="97">
        <f t="shared" si="0"/>
        <v>62</v>
      </c>
      <c r="C64" s="4"/>
      <c r="D64" s="4"/>
      <c r="E64" s="4"/>
      <c r="F64" s="4"/>
      <c r="G64" s="4"/>
      <c r="H64" s="4"/>
      <c r="I64" s="4"/>
      <c r="J64" s="4"/>
      <c r="K64" s="1"/>
      <c r="N64" s="28" t="s">
        <v>2</v>
      </c>
      <c r="O64" s="29"/>
      <c r="P64" s="29"/>
      <c r="Q64" s="90"/>
    </row>
    <row r="65" spans="1:17" ht="15" x14ac:dyDescent="0.25">
      <c r="B65" s="97">
        <f t="shared" si="0"/>
        <v>63</v>
      </c>
      <c r="C65" s="4"/>
      <c r="D65" s="4"/>
      <c r="E65" s="4"/>
      <c r="F65" s="4"/>
      <c r="G65" s="4"/>
      <c r="H65" s="4"/>
      <c r="I65" s="4"/>
      <c r="J65" s="4"/>
      <c r="K65" s="1"/>
      <c r="N65" s="79" t="s">
        <v>3</v>
      </c>
      <c r="O65" s="80">
        <f>COUNT(C68:J68)</f>
        <v>8</v>
      </c>
      <c r="P65" s="29"/>
      <c r="Q65" s="91"/>
    </row>
    <row r="66" spans="1:17" ht="15" x14ac:dyDescent="0.25">
      <c r="B66" s="97">
        <f t="shared" si="0"/>
        <v>64</v>
      </c>
      <c r="C66" s="4"/>
      <c r="D66" s="4"/>
      <c r="E66" s="4"/>
      <c r="F66" s="4"/>
      <c r="G66" s="4"/>
      <c r="H66" s="4"/>
      <c r="I66" s="4"/>
      <c r="J66" s="4"/>
      <c r="K66" s="1"/>
      <c r="L66" s="1"/>
      <c r="M66" s="1"/>
      <c r="N66" s="79" t="s">
        <v>36</v>
      </c>
      <c r="O66" s="99">
        <f>K69</f>
        <v>326</v>
      </c>
      <c r="P66" s="29"/>
      <c r="Q66" s="91"/>
    </row>
    <row r="67" spans="1:17" ht="15" x14ac:dyDescent="0.25">
      <c r="B67" s="97">
        <f>1+B66</f>
        <v>65</v>
      </c>
      <c r="C67" s="4"/>
      <c r="D67" s="4"/>
      <c r="E67" s="4"/>
      <c r="F67" s="4"/>
      <c r="G67" s="4"/>
      <c r="H67" s="4"/>
      <c r="I67" s="4"/>
      <c r="J67" s="4"/>
      <c r="K67" s="1"/>
      <c r="M67" s="5"/>
      <c r="N67" s="79" t="s">
        <v>4</v>
      </c>
      <c r="O67" s="80">
        <f>SUM(C68:J68)</f>
        <v>5</v>
      </c>
      <c r="P67" s="29"/>
      <c r="Q67" s="91"/>
    </row>
    <row r="68" spans="1:17" ht="15" x14ac:dyDescent="0.25">
      <c r="B68" s="92" t="s">
        <v>0</v>
      </c>
      <c r="C68" s="82">
        <f t="shared" ref="C68:J68" si="1">SUM(C3:C67)</f>
        <v>0</v>
      </c>
      <c r="D68" s="82">
        <f t="shared" si="1"/>
        <v>1</v>
      </c>
      <c r="E68" s="82">
        <f t="shared" si="1"/>
        <v>0</v>
      </c>
      <c r="F68" s="82">
        <f t="shared" si="1"/>
        <v>0</v>
      </c>
      <c r="G68" s="82">
        <f t="shared" si="1"/>
        <v>1</v>
      </c>
      <c r="H68" s="82">
        <f t="shared" si="1"/>
        <v>0</v>
      </c>
      <c r="I68" s="82">
        <f t="shared" si="1"/>
        <v>3</v>
      </c>
      <c r="J68" s="82">
        <f t="shared" si="1"/>
        <v>0</v>
      </c>
      <c r="K68" s="87">
        <f>SUM(C68:J68)</f>
        <v>5</v>
      </c>
      <c r="L68" s="7"/>
      <c r="M68" s="8"/>
      <c r="N68" s="79" t="s">
        <v>5</v>
      </c>
      <c r="O68" s="81">
        <f>AVERAGE(C68:J68)</f>
        <v>0.625</v>
      </c>
      <c r="P68" s="29"/>
      <c r="Q68" s="91"/>
    </row>
    <row r="69" spans="1:17" ht="15" x14ac:dyDescent="0.25">
      <c r="B69" s="92" t="s">
        <v>31</v>
      </c>
      <c r="C69" s="82">
        <f>COUNT(C3:C67)</f>
        <v>43</v>
      </c>
      <c r="D69" s="82">
        <f t="shared" ref="D69:J69" si="2">COUNT(D3:D67)</f>
        <v>40</v>
      </c>
      <c r="E69" s="82">
        <f t="shared" si="2"/>
        <v>38</v>
      </c>
      <c r="F69" s="82">
        <f t="shared" si="2"/>
        <v>34</v>
      </c>
      <c r="G69" s="82">
        <f t="shared" si="2"/>
        <v>49</v>
      </c>
      <c r="H69" s="82">
        <f t="shared" si="2"/>
        <v>48</v>
      </c>
      <c r="I69" s="82">
        <f t="shared" si="2"/>
        <v>54</v>
      </c>
      <c r="J69" s="82">
        <f t="shared" si="2"/>
        <v>20</v>
      </c>
      <c r="K69" s="87">
        <f>SUM(C69:J69)</f>
        <v>326</v>
      </c>
      <c r="L69" s="7"/>
      <c r="M69" s="8"/>
      <c r="N69" s="79" t="s">
        <v>35</v>
      </c>
      <c r="O69" s="81">
        <f>AVERAGE(C72:J72)</f>
        <v>2.7921382417273695E-3</v>
      </c>
      <c r="P69" s="29"/>
      <c r="Q69" s="91"/>
    </row>
    <row r="70" spans="1:17" ht="17.25" x14ac:dyDescent="0.25">
      <c r="B70" s="92" t="s">
        <v>32</v>
      </c>
      <c r="C70" s="82">
        <f>C69*4.52</f>
        <v>194.35999999999999</v>
      </c>
      <c r="D70" s="82">
        <f t="shared" ref="D70:J70" si="3">D69*4.52</f>
        <v>180.79999999999998</v>
      </c>
      <c r="E70" s="82">
        <f t="shared" si="3"/>
        <v>171.76</v>
      </c>
      <c r="F70" s="82">
        <f t="shared" si="3"/>
        <v>153.67999999999998</v>
      </c>
      <c r="G70" s="82">
        <f t="shared" si="3"/>
        <v>221.48</v>
      </c>
      <c r="H70" s="82">
        <f t="shared" si="3"/>
        <v>216.95999999999998</v>
      </c>
      <c r="I70" s="82">
        <f t="shared" si="3"/>
        <v>244.07999999999998</v>
      </c>
      <c r="J70" s="82">
        <f t="shared" si="3"/>
        <v>90.399999999999991</v>
      </c>
      <c r="K70" s="82">
        <f>K69*4.52</f>
        <v>1473.5199999999998</v>
      </c>
      <c r="L70" s="7"/>
      <c r="M70" s="8"/>
      <c r="N70" s="79" t="s">
        <v>6</v>
      </c>
      <c r="O70" s="100">
        <f>VAR(C72:J72)</f>
        <v>1.9954184633701024E-5</v>
      </c>
      <c r="P70" s="29"/>
      <c r="Q70" s="91"/>
    </row>
    <row r="71" spans="1:17" ht="15" x14ac:dyDescent="0.25">
      <c r="B71" s="92" t="s">
        <v>37</v>
      </c>
      <c r="C71" s="82">
        <f>C70/1000000</f>
        <v>1.9435999999999998E-4</v>
      </c>
      <c r="D71" s="82">
        <f t="shared" ref="D71:K71" si="4">D70/1000000</f>
        <v>1.8079999999999998E-4</v>
      </c>
      <c r="E71" s="82">
        <f t="shared" si="4"/>
        <v>1.7176E-4</v>
      </c>
      <c r="F71" s="82">
        <f t="shared" si="4"/>
        <v>1.5367999999999998E-4</v>
      </c>
      <c r="G71" s="82">
        <f t="shared" si="4"/>
        <v>2.2148E-4</v>
      </c>
      <c r="H71" s="82">
        <f t="shared" si="4"/>
        <v>2.1695999999999998E-4</v>
      </c>
      <c r="I71" s="82">
        <f t="shared" si="4"/>
        <v>2.4407999999999998E-4</v>
      </c>
      <c r="J71" s="82">
        <f t="shared" si="4"/>
        <v>9.0399999999999988E-5</v>
      </c>
      <c r="K71" s="82">
        <f t="shared" si="4"/>
        <v>1.4735199999999996E-3</v>
      </c>
      <c r="L71" s="7"/>
      <c r="M71" s="8"/>
      <c r="N71" s="79"/>
      <c r="O71" s="100"/>
      <c r="P71" s="29"/>
      <c r="Q71" s="91"/>
    </row>
    <row r="72" spans="1:17" ht="15" x14ac:dyDescent="0.25">
      <c r="B72" s="92" t="s">
        <v>33</v>
      </c>
      <c r="C72" s="83">
        <f>C68/C70</f>
        <v>0</v>
      </c>
      <c r="D72" s="83">
        <f t="shared" ref="D72:K72" si="5">D68/D70</f>
        <v>5.5309734513274344E-3</v>
      </c>
      <c r="E72" s="83">
        <f t="shared" si="5"/>
        <v>0</v>
      </c>
      <c r="F72" s="83">
        <f t="shared" si="5"/>
        <v>0</v>
      </c>
      <c r="G72" s="83">
        <f t="shared" si="5"/>
        <v>4.5150803684305581E-3</v>
      </c>
      <c r="H72" s="83">
        <f t="shared" si="5"/>
        <v>0</v>
      </c>
      <c r="I72" s="83">
        <f t="shared" si="5"/>
        <v>1.2291052114060964E-2</v>
      </c>
      <c r="J72" s="83">
        <f t="shared" si="5"/>
        <v>0</v>
      </c>
      <c r="K72" s="83">
        <f t="shared" si="5"/>
        <v>3.3932352462131502E-3</v>
      </c>
      <c r="L72" s="10"/>
      <c r="M72" s="11"/>
      <c r="N72" s="79" t="s">
        <v>7</v>
      </c>
      <c r="O72" s="101">
        <f>SQRT(((O69+O69^2/(O69^2/(O70-O69))))/O66)</f>
        <v>2.4740484093505836E-4</v>
      </c>
      <c r="P72" s="29"/>
      <c r="Q72" s="91"/>
    </row>
    <row r="73" spans="1:17" ht="15" x14ac:dyDescent="0.25">
      <c r="A73" s="12"/>
      <c r="B73" s="92" t="s">
        <v>34</v>
      </c>
      <c r="C73" s="83">
        <f t="shared" ref="C73:J73" si="6">DAYS360($A76,C2)</f>
        <v>83</v>
      </c>
      <c r="D73" s="83">
        <f t="shared" si="6"/>
        <v>83</v>
      </c>
      <c r="E73" s="83">
        <f t="shared" si="6"/>
        <v>83</v>
      </c>
      <c r="F73" s="83">
        <f t="shared" si="6"/>
        <v>83</v>
      </c>
      <c r="G73" s="83">
        <f t="shared" si="6"/>
        <v>83</v>
      </c>
      <c r="H73" s="83">
        <f t="shared" si="6"/>
        <v>83</v>
      </c>
      <c r="I73" s="83">
        <f t="shared" si="6"/>
        <v>83</v>
      </c>
      <c r="J73" s="83">
        <f t="shared" si="6"/>
        <v>83</v>
      </c>
      <c r="K73" s="13"/>
      <c r="L73" s="9"/>
      <c r="M73" s="9"/>
      <c r="Q73" s="91"/>
    </row>
    <row r="74" spans="1:17" ht="15.75" thickBot="1" x14ac:dyDescent="0.3">
      <c r="B74" s="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6"/>
      <c r="O74" s="42"/>
      <c r="P74" s="27"/>
      <c r="Q74" s="32"/>
    </row>
    <row r="75" spans="1:17" ht="29.25" thickTop="1" thickBot="1" x14ac:dyDescent="0.4">
      <c r="A75" s="14" t="s">
        <v>12</v>
      </c>
      <c r="C75" s="93" t="s">
        <v>50</v>
      </c>
      <c r="D75" s="89"/>
      <c r="E75" s="89"/>
      <c r="F75" s="89"/>
      <c r="G75" s="89"/>
      <c r="H75" s="89"/>
      <c r="I75" s="89"/>
      <c r="J75" s="89"/>
      <c r="M75" s="17"/>
      <c r="N75" s="43" t="s">
        <v>106</v>
      </c>
      <c r="O75" s="44"/>
      <c r="P75" s="45"/>
      <c r="Q75" s="46"/>
    </row>
    <row r="76" spans="1:17" ht="19.5" thickTop="1" x14ac:dyDescent="0.3">
      <c r="A76" s="86">
        <v>42319</v>
      </c>
      <c r="B76" s="102" t="s">
        <v>51</v>
      </c>
      <c r="C76" s="176" t="e">
        <f>#REF! &amp; "," &amp; G1 &amp; "," &amp; J1 &amp; "," &amp;  "," &amp;#REF!</f>
        <v>#REF!</v>
      </c>
      <c r="D76" s="176"/>
      <c r="E76" s="174" t="e">
        <f>#REF! &amp; "," &amp;#REF! &amp; "," &amp;#REF! &amp; "," &amp;#REF! &amp; "," &amp;#REF! &amp; ","</f>
        <v>#REF!</v>
      </c>
      <c r="F76" s="174"/>
      <c r="G76" s="174" t="e">
        <f>E1 &amp; "," &amp; I1 &amp; "," &amp;#REF! &amp; "," &amp;#REF! &amp; "," &amp;#REF!</f>
        <v>#REF!</v>
      </c>
      <c r="H76" s="174"/>
      <c r="I76" s="174" t="e">
        <f>F1 &amp; "," &amp;#REF! &amp; "," &amp;#REF! &amp; "," &amp;#REF! &amp; "," &amp;#REF!</f>
        <v>#REF!</v>
      </c>
      <c r="J76" s="174"/>
      <c r="M76" s="21"/>
      <c r="N76" s="52" t="s">
        <v>8</v>
      </c>
      <c r="O76" s="53" t="str">
        <f>+A1</f>
        <v>Justice Brook</v>
      </c>
      <c r="P76" s="54"/>
      <c r="Q76" s="55"/>
    </row>
    <row r="77" spans="1:17" ht="18.75" x14ac:dyDescent="0.3">
      <c r="A77" s="86"/>
      <c r="B77" s="104" t="s">
        <v>39</v>
      </c>
      <c r="C77" s="176" t="e">
        <f>G71+ J71 +#REF! +#REF! +#REF!</f>
        <v>#REF!</v>
      </c>
      <c r="D77" s="176"/>
      <c r="E77" s="174" t="e">
        <f>#REF! +#REF! +#REF! +#REF! +#REF! +#REF!</f>
        <v>#REF!</v>
      </c>
      <c r="F77" s="174"/>
      <c r="G77" s="174" t="e">
        <f>E71 + I71 +#REF! +#REF! +#REF!</f>
        <v>#REF!</v>
      </c>
      <c r="H77" s="174"/>
      <c r="I77" s="174" t="e">
        <f>F71 +#REF! +#REF! +#REF! +#REF!</f>
        <v>#REF!</v>
      </c>
      <c r="J77" s="174"/>
      <c r="M77" s="21"/>
      <c r="N77" s="52" t="s">
        <v>9</v>
      </c>
      <c r="O77" s="52">
        <f>A2</f>
        <v>2016</v>
      </c>
      <c r="P77" s="61"/>
      <c r="Q77" s="55"/>
    </row>
    <row r="78" spans="1:17" ht="18.75" x14ac:dyDescent="0.3">
      <c r="A78" s="98" t="s">
        <v>11</v>
      </c>
      <c r="B78" s="104" t="s">
        <v>38</v>
      </c>
      <c r="C78" s="174" t="e">
        <f>G68 + J68 +#REF! +#REF!</f>
        <v>#REF!</v>
      </c>
      <c r="D78" s="174"/>
      <c r="E78" s="174" t="e">
        <f>#REF! +#REF! +#REF! +#REF! +#REF!</f>
        <v>#REF!</v>
      </c>
      <c r="F78" s="174"/>
      <c r="G78" s="174" t="e">
        <f>E68 + I68 +#REF! +#REF! +#REF!</f>
        <v>#REF!</v>
      </c>
      <c r="H78" s="174"/>
      <c r="I78" s="174" t="e">
        <f>F68 +#REF! +#REF! +#REF! +#REF!</f>
        <v>#REF!</v>
      </c>
      <c r="J78" s="174"/>
      <c r="M78" s="21"/>
      <c r="N78" s="62" t="s">
        <v>10</v>
      </c>
      <c r="O78" s="109">
        <f>O65</f>
        <v>8</v>
      </c>
      <c r="P78" s="61"/>
      <c r="Q78" s="55"/>
    </row>
    <row r="79" spans="1:17" ht="18.75" x14ac:dyDescent="0.3">
      <c r="A79" s="98"/>
      <c r="B79" s="104" t="s">
        <v>40</v>
      </c>
      <c r="C79" s="174" t="e">
        <f>AVERAGE(G73,J73,#REF!,#REF!)</f>
        <v>#REF!</v>
      </c>
      <c r="D79" s="174"/>
      <c r="E79" s="175" t="e">
        <f xml:space="preserve"> AVERAGE(#REF!,#REF!,#REF!,#REF!,#REF!)</f>
        <v>#REF!</v>
      </c>
      <c r="F79" s="175"/>
      <c r="G79" s="175" t="e">
        <f xml:space="preserve"> AVERAGE(E73, I73,#REF!,#REF!,#REF!)</f>
        <v>#REF!</v>
      </c>
      <c r="H79" s="175"/>
      <c r="I79" s="175" t="e">
        <f xml:space="preserve"> AVERAGE(F73,#REF!,#REF!,#REF!,#REF!)</f>
        <v>#REF!</v>
      </c>
      <c r="J79" s="175"/>
      <c r="M79" s="21"/>
      <c r="N79" s="52" t="s">
        <v>30</v>
      </c>
      <c r="O79" s="105">
        <f>K69</f>
        <v>326</v>
      </c>
      <c r="P79" s="61"/>
      <c r="Q79" s="55"/>
    </row>
    <row r="80" spans="1:17" ht="18.75" x14ac:dyDescent="0.3">
      <c r="A80" s="98"/>
      <c r="B80" s="94" t="s">
        <v>1</v>
      </c>
      <c r="C80" s="127"/>
      <c r="D80" s="127"/>
      <c r="E80" s="127"/>
      <c r="F80" s="127"/>
      <c r="G80" s="127"/>
      <c r="H80" s="127"/>
      <c r="I80" s="127"/>
      <c r="J80" s="127"/>
      <c r="K80" s="16" t="s">
        <v>16</v>
      </c>
      <c r="L80" s="16" t="s">
        <v>15</v>
      </c>
      <c r="M80" s="21"/>
      <c r="N80" s="52" t="s">
        <v>42</v>
      </c>
      <c r="O80" s="105">
        <f>K68</f>
        <v>5</v>
      </c>
      <c r="P80" s="61"/>
      <c r="Q80" s="55"/>
    </row>
    <row r="81" spans="1:19" ht="18.75" x14ac:dyDescent="0.3">
      <c r="A81" s="22"/>
      <c r="B81" s="19">
        <v>11.4</v>
      </c>
      <c r="C81" s="171">
        <f>K68/($B$81*J73*K71)</f>
        <v>3.5861712600012154</v>
      </c>
      <c r="D81" s="172"/>
      <c r="E81" s="171" t="e">
        <f>E78/(B81*E77*E79)</f>
        <v>#REF!</v>
      </c>
      <c r="F81" s="172"/>
      <c r="G81" s="171" t="e">
        <f>G78/(B81*G77*G79)</f>
        <v>#REF!</v>
      </c>
      <c r="H81" s="180"/>
      <c r="I81" s="171" t="e">
        <f>I78/(B81*I77*I79)</f>
        <v>#REF!</v>
      </c>
      <c r="J81" s="172"/>
      <c r="K81" s="20" t="e">
        <f>AVERAGE(C81:J81)</f>
        <v>#REF!</v>
      </c>
      <c r="L81" s="20" t="e">
        <f>STDEV(C81:J81)</f>
        <v>#REF!</v>
      </c>
      <c r="M81" s="21"/>
      <c r="N81" s="52"/>
      <c r="O81" s="105"/>
      <c r="P81" s="61"/>
      <c r="Q81" s="55"/>
    </row>
    <row r="82" spans="1:19" ht="18.75" x14ac:dyDescent="0.3">
      <c r="A82" s="26"/>
      <c r="B82" s="24">
        <v>14.2</v>
      </c>
      <c r="C82" s="171">
        <f>K68/(B82*J73*K71)</f>
        <v>2.8790388988742155</v>
      </c>
      <c r="D82" s="172"/>
      <c r="E82" s="171" t="e">
        <f>E78/(B82*E77*E79)</f>
        <v>#REF!</v>
      </c>
      <c r="F82" s="172"/>
      <c r="G82" s="171" t="e">
        <f>G78/(B82*G77*G79)</f>
        <v>#REF!</v>
      </c>
      <c r="H82" s="180"/>
      <c r="I82" s="171" t="e">
        <f>I78/(B82*I77*I79)</f>
        <v>#REF!</v>
      </c>
      <c r="J82" s="172"/>
      <c r="K82" s="20" t="e">
        <f>AVERAGE(C82:J82)</f>
        <v>#REF!</v>
      </c>
      <c r="L82" s="20" t="e">
        <f>STDEV(C82:J82)</f>
        <v>#REF!</v>
      </c>
      <c r="M82" s="21"/>
      <c r="N82" s="106" t="s">
        <v>43</v>
      </c>
      <c r="O82" s="63"/>
      <c r="P82" s="61"/>
      <c r="Q82" s="55"/>
    </row>
    <row r="83" spans="1:19" ht="18.75" x14ac:dyDescent="0.3">
      <c r="B83" s="19">
        <v>17</v>
      </c>
      <c r="C83" s="171">
        <f>K68/(B83*J73*K71)</f>
        <v>2.4048442567066974</v>
      </c>
      <c r="D83" s="172"/>
      <c r="E83" s="171" t="e">
        <f>E78/(B83*E77*E79)</f>
        <v>#REF!</v>
      </c>
      <c r="F83" s="172"/>
      <c r="G83" s="171" t="e">
        <f>G78/(B83*G77*G79)</f>
        <v>#REF!</v>
      </c>
      <c r="H83" s="180"/>
      <c r="I83" s="171" t="e">
        <f>I78/(B83*I77*I79)</f>
        <v>#REF!</v>
      </c>
      <c r="J83" s="172"/>
      <c r="K83" s="20" t="e">
        <f>AVERAGE(C83:J83)</f>
        <v>#REF!</v>
      </c>
      <c r="L83" s="20" t="e">
        <f>STDEV(C83:J83)</f>
        <v>#REF!</v>
      </c>
      <c r="M83" s="21"/>
      <c r="N83" s="62" t="s">
        <v>44</v>
      </c>
      <c r="O83" s="107">
        <f>AVERAGE(C81:D83)</f>
        <v>2.9566848051940426</v>
      </c>
      <c r="P83" s="61" t="s">
        <v>48</v>
      </c>
      <c r="Q83" s="110">
        <f>O83/0.386</f>
        <v>7.6598051948032193</v>
      </c>
      <c r="R83" s="110" t="s">
        <v>49</v>
      </c>
    </row>
    <row r="84" spans="1:19" ht="18.75" x14ac:dyDescent="0.3">
      <c r="B84" s="19"/>
      <c r="C84" s="23"/>
      <c r="D84" s="23"/>
      <c r="E84" s="23"/>
      <c r="F84" s="23"/>
      <c r="G84" s="23"/>
      <c r="H84" s="23"/>
      <c r="I84" s="23"/>
      <c r="J84" s="23"/>
      <c r="K84" s="20"/>
      <c r="L84" s="20"/>
      <c r="M84" s="21"/>
      <c r="N84" s="71" t="s">
        <v>45</v>
      </c>
      <c r="O84" s="72">
        <f>_xlfn.VAR.S(C81:D83)</f>
        <v>0.35340503725437422</v>
      </c>
      <c r="P84" s="61" t="s">
        <v>48</v>
      </c>
      <c r="Q84" s="110">
        <f>O84/0.386</f>
        <v>0.91555709133257568</v>
      </c>
      <c r="R84" s="110" t="s">
        <v>49</v>
      </c>
    </row>
    <row r="85" spans="1:19" ht="18.75" x14ac:dyDescent="0.3">
      <c r="B85" s="77" t="s">
        <v>41</v>
      </c>
      <c r="C85" s="173">
        <f>AVERAGE(C81:C83)</f>
        <v>2.9566848051940426</v>
      </c>
      <c r="D85" s="173"/>
      <c r="E85" s="173" t="e">
        <f>AVERAGE(E81:E83)</f>
        <v>#REF!</v>
      </c>
      <c r="F85" s="173"/>
      <c r="G85" s="173" t="e">
        <f>AVERAGE(G81:G83)</f>
        <v>#REF!</v>
      </c>
      <c r="H85" s="173"/>
      <c r="I85" s="173" t="e">
        <f>AVERAGE(I81:I83)</f>
        <v>#REF!</v>
      </c>
      <c r="J85" s="173"/>
      <c r="K85" s="20"/>
      <c r="L85" s="20"/>
      <c r="M85" s="21"/>
      <c r="N85" s="71" t="s">
        <v>46</v>
      </c>
      <c r="O85" s="72">
        <f>MAX(C81:D83)</f>
        <v>3.5861712600012154</v>
      </c>
      <c r="P85" s="61" t="s">
        <v>48</v>
      </c>
      <c r="Q85" s="110">
        <f>O85/0.386</f>
        <v>9.2905991191741322</v>
      </c>
      <c r="R85" s="110" t="s">
        <v>49</v>
      </c>
    </row>
    <row r="86" spans="1:19" ht="18.75" x14ac:dyDescent="0.3">
      <c r="M86" s="21"/>
      <c r="N86" s="71" t="s">
        <v>47</v>
      </c>
      <c r="O86" s="72">
        <f>MIN(C81:D83)</f>
        <v>2.4048442567066974</v>
      </c>
      <c r="P86" s="108" t="s">
        <v>48</v>
      </c>
      <c r="Q86" s="110">
        <f>O86/0.386</f>
        <v>6.2301664681520661</v>
      </c>
      <c r="R86" s="110" t="s">
        <v>49</v>
      </c>
    </row>
    <row r="87" spans="1:19" ht="18.75" x14ac:dyDescent="0.3">
      <c r="M87" s="21"/>
      <c r="N87" s="68" t="s">
        <v>53</v>
      </c>
      <c r="O87" s="72">
        <f>COUNT(C81:J83)</f>
        <v>3</v>
      </c>
      <c r="P87" s="61"/>
      <c r="Q87" s="55"/>
    </row>
    <row r="88" spans="1:19" ht="18.75" x14ac:dyDescent="0.3">
      <c r="M88" s="21"/>
      <c r="N88" s="66"/>
      <c r="O88" s="72"/>
      <c r="P88" s="61"/>
      <c r="Q88" s="61"/>
    </row>
    <row r="89" spans="1:19" ht="18.75" x14ac:dyDescent="0.3">
      <c r="A89" s="18"/>
      <c r="M89" s="21"/>
      <c r="N89" s="68" t="s">
        <v>54</v>
      </c>
      <c r="O89" s="69"/>
      <c r="P89" s="110">
        <f>O83-O92</f>
        <v>1.9544751282558455</v>
      </c>
      <c r="Q89" s="110">
        <f>O83+O92</f>
        <v>3.9588944821322398</v>
      </c>
      <c r="R89" s="111" t="s">
        <v>48</v>
      </c>
      <c r="S89"/>
    </row>
    <row r="90" spans="1:19" ht="18.75" x14ac:dyDescent="0.3">
      <c r="K90" s="9"/>
      <c r="L90" s="9"/>
      <c r="M90" s="21"/>
      <c r="N90" s="71"/>
      <c r="O90" s="74"/>
      <c r="P90" s="110">
        <f>P89/0.386</f>
        <v>5.0634070680203251</v>
      </c>
      <c r="Q90" s="110">
        <f>Q89/0.386</f>
        <v>10.256203321586113</v>
      </c>
      <c r="R90" s="111" t="s">
        <v>49</v>
      </c>
    </row>
    <row r="91" spans="1:19" ht="23.25" x14ac:dyDescent="0.35">
      <c r="K91" s="38"/>
      <c r="L91" s="39"/>
      <c r="M91" s="21"/>
      <c r="O91" s="18"/>
    </row>
    <row r="92" spans="1:19" ht="23.25" x14ac:dyDescent="0.35">
      <c r="K92" s="39"/>
      <c r="L92" s="41"/>
      <c r="M92" s="21"/>
      <c r="N92" s="2" t="s">
        <v>52</v>
      </c>
      <c r="O92" s="18">
        <f>2.92*O93</f>
        <v>1.0022096769381972</v>
      </c>
    </row>
    <row r="93" spans="1:19" s="18" customFormat="1" ht="23.2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39"/>
      <c r="L93" s="41"/>
      <c r="M93" s="27"/>
      <c r="N93" s="2" t="s">
        <v>96</v>
      </c>
      <c r="O93" s="18">
        <f>SQRT(O84)/SQRT(O87)</f>
        <v>0.3432224921021223</v>
      </c>
    </row>
    <row r="94" spans="1:19" ht="15" x14ac:dyDescent="0.25">
      <c r="K94" s="48"/>
      <c r="L94" s="49"/>
      <c r="O94" s="18"/>
      <c r="P94" s="31"/>
      <c r="Q94" s="31"/>
    </row>
    <row r="95" spans="1:19" ht="17.25" customHeight="1" x14ac:dyDescent="0.25">
      <c r="K95" s="57"/>
      <c r="L95" s="49"/>
      <c r="O95" s="18"/>
      <c r="P95" s="31"/>
      <c r="Q95" s="31"/>
    </row>
    <row r="96" spans="1:19" ht="15.75" customHeight="1" x14ac:dyDescent="0.25">
      <c r="K96" s="57"/>
      <c r="L96" s="49"/>
      <c r="N96" s="18"/>
      <c r="O96" s="18"/>
      <c r="P96" s="31"/>
      <c r="Q96" s="31"/>
      <c r="S96" s="36"/>
    </row>
    <row r="97" spans="1:18" ht="15" customHeight="1" x14ac:dyDescent="0.25">
      <c r="K97" s="57"/>
      <c r="L97" s="49"/>
      <c r="N97" s="30"/>
      <c r="O97" s="31"/>
      <c r="P97" s="31"/>
      <c r="Q97" s="31"/>
    </row>
    <row r="98" spans="1:18" ht="15.75" customHeight="1" x14ac:dyDescent="0.3">
      <c r="K98" s="48"/>
      <c r="L98" s="49"/>
      <c r="N98" s="34"/>
      <c r="O98" s="35"/>
      <c r="P98" s="31"/>
      <c r="Q98" s="31"/>
    </row>
    <row r="99" spans="1:18" ht="16.5" customHeight="1" x14ac:dyDescent="0.3">
      <c r="K99" s="48"/>
      <c r="L99" s="49"/>
      <c r="M99" s="9"/>
      <c r="N99" s="34"/>
      <c r="O99" s="31"/>
    </row>
    <row r="100" spans="1:18" ht="16.5" customHeight="1" x14ac:dyDescent="0.35">
      <c r="K100" s="48"/>
      <c r="L100" s="49"/>
      <c r="M100" s="39"/>
      <c r="N100" s="34"/>
      <c r="O100" s="37"/>
    </row>
    <row r="101" spans="1:18" ht="16.5" customHeight="1" x14ac:dyDescent="0.3">
      <c r="K101" s="48"/>
      <c r="L101" s="49"/>
      <c r="M101" s="41"/>
      <c r="N101" s="34"/>
      <c r="O101" s="31"/>
    </row>
    <row r="102" spans="1:18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48"/>
      <c r="L102" s="49"/>
      <c r="M102" s="41"/>
    </row>
    <row r="103" spans="1:18" x14ac:dyDescent="0.2">
      <c r="A103" s="64"/>
      <c r="B103" s="60"/>
      <c r="C103" s="60"/>
      <c r="D103" s="60"/>
      <c r="E103" s="60"/>
      <c r="F103" s="60"/>
      <c r="G103" s="60"/>
      <c r="H103" s="60"/>
      <c r="I103" s="60"/>
      <c r="J103" s="60"/>
      <c r="K103" s="48"/>
      <c r="L103" s="49"/>
      <c r="M103" s="50"/>
      <c r="N103" s="40"/>
      <c r="P103" s="51"/>
      <c r="Q103" s="51"/>
      <c r="R103" s="51"/>
    </row>
    <row r="104" spans="1:18" x14ac:dyDescent="0.2">
      <c r="A104" s="64"/>
      <c r="B104" s="60"/>
      <c r="C104" s="60"/>
      <c r="D104" s="60"/>
      <c r="E104" s="60"/>
      <c r="F104" s="60"/>
      <c r="G104" s="60"/>
      <c r="H104" s="60"/>
      <c r="I104" s="60"/>
      <c r="J104" s="60"/>
      <c r="K104" s="48"/>
      <c r="L104" s="49"/>
      <c r="M104" s="50"/>
      <c r="N104" s="40"/>
      <c r="P104" s="51"/>
      <c r="Q104" s="60"/>
      <c r="R104" s="60"/>
    </row>
    <row r="105" spans="1:18" x14ac:dyDescent="0.2">
      <c r="A105" s="64"/>
      <c r="B105" s="60"/>
      <c r="C105" s="60"/>
      <c r="D105" s="60"/>
      <c r="E105" s="60"/>
      <c r="F105" s="60"/>
      <c r="G105" s="60"/>
      <c r="H105" s="60"/>
      <c r="I105" s="60"/>
      <c r="J105" s="60"/>
      <c r="K105" s="48"/>
      <c r="L105" s="49"/>
      <c r="M105" s="50"/>
      <c r="N105" s="40"/>
      <c r="P105" s="51"/>
      <c r="Q105" s="60"/>
      <c r="R105" s="60"/>
    </row>
    <row r="106" spans="1:18" x14ac:dyDescent="0.2">
      <c r="A106" s="64"/>
      <c r="B106" s="60"/>
      <c r="C106" s="60"/>
      <c r="D106" s="60"/>
      <c r="E106" s="60"/>
      <c r="F106" s="60"/>
      <c r="G106" s="60"/>
      <c r="H106" s="60"/>
      <c r="I106" s="60"/>
      <c r="J106" s="60"/>
      <c r="K106" s="48"/>
      <c r="L106" s="49"/>
      <c r="M106" s="50"/>
      <c r="N106" s="40"/>
      <c r="O106" s="51"/>
      <c r="P106" s="51"/>
      <c r="Q106" s="60"/>
      <c r="R106" s="60"/>
    </row>
    <row r="107" spans="1:18" x14ac:dyDescent="0.2">
      <c r="A107" s="67"/>
      <c r="B107" s="60"/>
      <c r="C107" s="60"/>
      <c r="D107" s="60"/>
      <c r="E107" s="60"/>
      <c r="F107" s="60"/>
      <c r="G107" s="60"/>
      <c r="H107" s="60"/>
      <c r="I107" s="60"/>
      <c r="J107" s="60"/>
      <c r="K107" s="48"/>
      <c r="L107" s="49"/>
      <c r="M107" s="50"/>
      <c r="N107" s="58"/>
      <c r="O107" s="59"/>
      <c r="P107" s="51"/>
      <c r="Q107" s="60"/>
      <c r="R107" s="60"/>
    </row>
    <row r="108" spans="1:18" x14ac:dyDescent="0.2">
      <c r="A108" s="67"/>
      <c r="B108" s="60"/>
      <c r="C108" s="60"/>
      <c r="D108" s="60"/>
      <c r="E108" s="60"/>
      <c r="F108" s="60"/>
      <c r="G108" s="60"/>
      <c r="H108" s="60"/>
      <c r="I108" s="60"/>
      <c r="J108" s="60"/>
      <c r="K108" s="48"/>
      <c r="L108" s="49"/>
      <c r="M108" s="50"/>
      <c r="N108" s="58"/>
      <c r="O108" s="59"/>
      <c r="P108" s="51"/>
      <c r="Q108" s="60"/>
      <c r="R108" s="60"/>
    </row>
    <row r="109" spans="1:18" x14ac:dyDescent="0.2">
      <c r="A109" s="73"/>
      <c r="K109" s="48"/>
      <c r="L109" s="49"/>
      <c r="M109" s="50"/>
      <c r="N109" s="58"/>
      <c r="O109" s="59"/>
      <c r="P109" s="51"/>
      <c r="Q109" s="60"/>
      <c r="R109" s="60"/>
    </row>
    <row r="110" spans="1:18" x14ac:dyDescent="0.2">
      <c r="A110" s="73"/>
      <c r="B110" s="27"/>
      <c r="C110" s="75"/>
      <c r="D110" s="75"/>
      <c r="E110" s="75"/>
      <c r="F110" s="75"/>
      <c r="G110" s="75"/>
      <c r="H110" s="75"/>
      <c r="I110" s="75"/>
      <c r="J110" s="75"/>
      <c r="K110" s="48"/>
      <c r="L110" s="49"/>
      <c r="M110" s="50"/>
      <c r="N110" s="65"/>
      <c r="O110" s="59"/>
      <c r="P110" s="51"/>
      <c r="Q110" s="60"/>
      <c r="R110" s="60"/>
    </row>
    <row r="111" spans="1:18" s="60" customFormat="1" x14ac:dyDescent="0.2">
      <c r="A111" s="73"/>
      <c r="B111" s="27"/>
      <c r="C111" s="75"/>
      <c r="D111" s="75"/>
      <c r="E111" s="75"/>
      <c r="F111" s="75"/>
      <c r="G111" s="75"/>
      <c r="H111" s="75"/>
      <c r="I111" s="75"/>
      <c r="J111" s="75"/>
      <c r="K111" s="48"/>
      <c r="L111" s="49"/>
      <c r="M111" s="50"/>
      <c r="N111" s="58"/>
      <c r="O111" s="59"/>
      <c r="P111" s="51"/>
    </row>
    <row r="112" spans="1:18" s="60" customFormat="1" x14ac:dyDescent="0.2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48"/>
      <c r="L112" s="49"/>
      <c r="M112" s="50"/>
      <c r="N112" s="58"/>
      <c r="O112" s="59"/>
      <c r="P112" s="51"/>
    </row>
    <row r="113" spans="1:18" s="60" customFormat="1" x14ac:dyDescent="0.2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48"/>
      <c r="L113" s="49"/>
      <c r="M113" s="50"/>
      <c r="N113" s="58"/>
      <c r="O113" s="59"/>
      <c r="P113" s="51"/>
    </row>
    <row r="114" spans="1:18" s="60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8"/>
      <c r="L114" s="49"/>
      <c r="M114" s="50"/>
      <c r="N114" s="58"/>
      <c r="O114" s="59"/>
      <c r="P114" s="51"/>
    </row>
    <row r="115" spans="1:18" s="60" customFormat="1" x14ac:dyDescent="0.2">
      <c r="A115" s="22"/>
      <c r="B115" s="18"/>
      <c r="C115" s="2"/>
      <c r="D115" s="2"/>
      <c r="E115" s="2"/>
      <c r="F115" s="2"/>
      <c r="G115" s="2"/>
      <c r="H115" s="2"/>
      <c r="I115" s="2"/>
      <c r="J115" s="2"/>
      <c r="K115" s="48"/>
      <c r="L115" s="49"/>
      <c r="M115" s="50"/>
      <c r="N115" s="58"/>
      <c r="O115" s="59"/>
      <c r="P115" s="51"/>
    </row>
    <row r="116" spans="1:18" s="60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8"/>
      <c r="L116" s="49"/>
      <c r="M116" s="50"/>
      <c r="N116" s="58"/>
      <c r="O116" s="59"/>
      <c r="P116" s="51"/>
    </row>
    <row r="117" spans="1:18" s="60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8"/>
      <c r="L117" s="49"/>
      <c r="M117" s="50"/>
      <c r="N117" s="58"/>
      <c r="O117" s="59"/>
      <c r="P117" s="51"/>
    </row>
    <row r="118" spans="1:18" x14ac:dyDescent="0.2">
      <c r="K118" s="48"/>
      <c r="L118" s="49"/>
      <c r="M118" s="50"/>
      <c r="N118" s="58"/>
      <c r="O118" s="59"/>
      <c r="P118" s="51"/>
      <c r="Q118" s="51"/>
      <c r="R118" s="51"/>
    </row>
    <row r="119" spans="1:18" x14ac:dyDescent="0.2">
      <c r="K119" s="48"/>
      <c r="L119" s="49"/>
      <c r="M119" s="50"/>
      <c r="N119" s="58"/>
      <c r="O119" s="59"/>
      <c r="P119" s="51"/>
      <c r="Q119" s="51"/>
      <c r="R119" s="51"/>
    </row>
    <row r="120" spans="1:18" x14ac:dyDescent="0.2">
      <c r="K120" s="48"/>
      <c r="L120" s="49"/>
      <c r="M120" s="50"/>
      <c r="N120" s="58"/>
      <c r="O120" s="59"/>
      <c r="P120" s="51"/>
      <c r="Q120" s="51"/>
      <c r="R120" s="51"/>
    </row>
    <row r="121" spans="1:18" x14ac:dyDescent="0.2">
      <c r="K121" s="48"/>
      <c r="L121" s="49"/>
      <c r="M121" s="50"/>
      <c r="N121" s="58"/>
      <c r="O121" s="51"/>
      <c r="P121" s="51"/>
      <c r="Q121" s="51"/>
      <c r="R121" s="51"/>
    </row>
    <row r="122" spans="1:18" x14ac:dyDescent="0.2">
      <c r="K122" s="40"/>
      <c r="L122" s="50"/>
      <c r="M122" s="50"/>
      <c r="N122" s="58"/>
      <c r="O122" s="51"/>
      <c r="P122" s="51"/>
      <c r="Q122" s="51"/>
      <c r="R122" s="51"/>
    </row>
    <row r="123" spans="1:18" x14ac:dyDescent="0.2">
      <c r="K123" s="40"/>
      <c r="L123" s="40"/>
      <c r="M123" s="50"/>
      <c r="N123" s="58"/>
      <c r="O123" s="51"/>
      <c r="P123" s="51"/>
      <c r="Q123" s="51"/>
      <c r="R123" s="51"/>
    </row>
    <row r="124" spans="1:18" x14ac:dyDescent="0.2">
      <c r="M124" s="50"/>
      <c r="N124" s="58"/>
      <c r="O124" s="51"/>
      <c r="P124" s="51"/>
      <c r="Q124" s="51"/>
      <c r="R124" s="51"/>
    </row>
    <row r="125" spans="1:18" x14ac:dyDescent="0.2">
      <c r="M125" s="50"/>
      <c r="N125" s="76"/>
      <c r="O125" s="51"/>
      <c r="P125" s="51"/>
      <c r="Q125" s="51"/>
      <c r="R125" s="51"/>
    </row>
    <row r="126" spans="1:18" x14ac:dyDescent="0.2">
      <c r="M126" s="50"/>
      <c r="N126" s="76"/>
      <c r="O126" s="51"/>
      <c r="P126" s="51"/>
      <c r="Q126" s="51"/>
      <c r="R126" s="51"/>
    </row>
    <row r="127" spans="1:18" x14ac:dyDescent="0.2">
      <c r="M127" s="50"/>
      <c r="N127" s="76"/>
      <c r="O127" s="51"/>
      <c r="P127" s="51"/>
      <c r="Q127" s="51"/>
      <c r="R127" s="51"/>
    </row>
    <row r="128" spans="1:18" x14ac:dyDescent="0.2">
      <c r="M128" s="50"/>
      <c r="N128" s="76"/>
      <c r="O128" s="51"/>
      <c r="P128" s="51"/>
      <c r="Q128" s="51"/>
      <c r="R128" s="51"/>
    </row>
    <row r="129" spans="13:18" x14ac:dyDescent="0.2">
      <c r="M129" s="50"/>
      <c r="N129" s="76"/>
      <c r="O129" s="51"/>
      <c r="P129" s="51"/>
      <c r="Q129" s="51"/>
      <c r="R129" s="51"/>
    </row>
    <row r="130" spans="13:18" x14ac:dyDescent="0.2">
      <c r="M130" s="50"/>
      <c r="N130" s="76"/>
      <c r="O130" s="51"/>
      <c r="P130" s="51"/>
      <c r="Q130" s="51"/>
      <c r="R130" s="51"/>
    </row>
    <row r="131" spans="13:18" x14ac:dyDescent="0.2">
      <c r="M131" s="50"/>
      <c r="N131" s="76"/>
      <c r="O131" s="51"/>
      <c r="P131" s="51"/>
      <c r="Q131" s="51"/>
      <c r="R131" s="51"/>
    </row>
    <row r="132" spans="13:18" x14ac:dyDescent="0.2">
      <c r="M132" s="40"/>
      <c r="N132" s="76"/>
      <c r="O132" s="51"/>
      <c r="P132" s="51"/>
      <c r="Q132" s="51"/>
      <c r="R132" s="51"/>
    </row>
    <row r="133" spans="13:18" x14ac:dyDescent="0.2">
      <c r="N133" s="76"/>
      <c r="O133" s="51"/>
    </row>
    <row r="134" spans="13:18" x14ac:dyDescent="0.2">
      <c r="N134" s="76"/>
      <c r="O134" s="51"/>
    </row>
    <row r="135" spans="13:18" x14ac:dyDescent="0.2">
      <c r="N135" s="76"/>
      <c r="O135" s="51"/>
    </row>
  </sheetData>
  <mergeCells count="32">
    <mergeCell ref="C83:D83"/>
    <mergeCell ref="E83:F83"/>
    <mergeCell ref="G83:H83"/>
    <mergeCell ref="I83:J83"/>
    <mergeCell ref="C85:D85"/>
    <mergeCell ref="E85:F85"/>
    <mergeCell ref="G85:H85"/>
    <mergeCell ref="I85:J85"/>
    <mergeCell ref="C81:D81"/>
    <mergeCell ref="E81:F81"/>
    <mergeCell ref="G81:H81"/>
    <mergeCell ref="I81:J81"/>
    <mergeCell ref="C82:D82"/>
    <mergeCell ref="E82:F82"/>
    <mergeCell ref="G82:H82"/>
    <mergeCell ref="I82:J82"/>
    <mergeCell ref="C78:D78"/>
    <mergeCell ref="E78:F78"/>
    <mergeCell ref="G78:H78"/>
    <mergeCell ref="I78:J78"/>
    <mergeCell ref="C79:D79"/>
    <mergeCell ref="E79:F79"/>
    <mergeCell ref="G79:H79"/>
    <mergeCell ref="I79:J79"/>
    <mergeCell ref="C76:D76"/>
    <mergeCell ref="E76:F76"/>
    <mergeCell ref="G76:H76"/>
    <mergeCell ref="I76:J76"/>
    <mergeCell ref="C77:D77"/>
    <mergeCell ref="E77:F77"/>
    <mergeCell ref="G77:H77"/>
    <mergeCell ref="I77:J77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I92" sqref="I92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10" width="11.42578125" style="2" customWidth="1"/>
    <col min="11" max="11" width="10.7109375" style="2" customWidth="1"/>
    <col min="12" max="12" width="9.42578125" style="2" customWidth="1"/>
    <col min="13" max="13" width="2.5703125" style="2" customWidth="1"/>
    <col min="14" max="14" width="35.140625" style="2" customWidth="1"/>
    <col min="15" max="15" width="11.42578125" style="2"/>
    <col min="16" max="16" width="12.28515625" style="2" bestFit="1" customWidth="1"/>
    <col min="17" max="16384" width="11.42578125" style="2"/>
  </cols>
  <sheetData>
    <row r="1" spans="1:13" ht="15.75" x14ac:dyDescent="0.25">
      <c r="A1" s="95" t="s">
        <v>86</v>
      </c>
      <c r="B1" s="84"/>
      <c r="C1" s="85" t="s">
        <v>55</v>
      </c>
      <c r="D1" s="85" t="s">
        <v>56</v>
      </c>
      <c r="E1" s="85" t="s">
        <v>57</v>
      </c>
      <c r="F1" s="85" t="s">
        <v>58</v>
      </c>
      <c r="G1" s="85" t="s">
        <v>59</v>
      </c>
      <c r="H1" s="85" t="s">
        <v>60</v>
      </c>
      <c r="I1" s="85" t="s">
        <v>62</v>
      </c>
      <c r="J1" s="85" t="s">
        <v>63</v>
      </c>
      <c r="K1" s="1"/>
      <c r="L1" s="1"/>
      <c r="M1" s="1"/>
    </row>
    <row r="2" spans="1:13" ht="15" x14ac:dyDescent="0.25">
      <c r="A2" s="96">
        <v>2016</v>
      </c>
      <c r="B2" s="84" t="s">
        <v>13</v>
      </c>
      <c r="C2" s="86">
        <v>42404</v>
      </c>
      <c r="D2" s="86">
        <v>42404</v>
      </c>
      <c r="E2" s="86">
        <v>42404</v>
      </c>
      <c r="F2" s="86">
        <v>42404</v>
      </c>
      <c r="G2" s="86">
        <v>42404</v>
      </c>
      <c r="H2" s="86">
        <v>42404</v>
      </c>
      <c r="I2" s="86">
        <v>42404</v>
      </c>
      <c r="J2" s="86">
        <v>42404</v>
      </c>
      <c r="K2" s="3"/>
      <c r="L2" s="3"/>
      <c r="M2" s="3"/>
    </row>
    <row r="3" spans="1:13" ht="15" x14ac:dyDescent="0.25">
      <c r="A3" s="112" t="s">
        <v>87</v>
      </c>
      <c r="B3" s="97">
        <v>1</v>
      </c>
      <c r="C3" s="4">
        <v>1</v>
      </c>
      <c r="D3" s="4">
        <v>1</v>
      </c>
      <c r="E3" s="4">
        <v>1</v>
      </c>
      <c r="F3" s="4">
        <v>0</v>
      </c>
      <c r="G3" s="4">
        <v>1</v>
      </c>
      <c r="H3" s="4">
        <v>0</v>
      </c>
      <c r="I3" s="4">
        <v>1</v>
      </c>
      <c r="J3" s="4">
        <v>0</v>
      </c>
      <c r="K3" s="1"/>
    </row>
    <row r="4" spans="1:13" ht="15" x14ac:dyDescent="0.25">
      <c r="B4" s="97">
        <f>1+B3</f>
        <v>2</v>
      </c>
      <c r="C4" s="4">
        <v>0</v>
      </c>
      <c r="D4" s="4">
        <v>1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1"/>
    </row>
    <row r="5" spans="1:13" ht="15" x14ac:dyDescent="0.25">
      <c r="B5" s="97">
        <f t="shared" ref="B5:B66" si="0">1+B4</f>
        <v>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"/>
    </row>
    <row r="6" spans="1:13" ht="15" x14ac:dyDescent="0.25">
      <c r="B6" s="97">
        <f t="shared" si="0"/>
        <v>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1"/>
    </row>
    <row r="7" spans="1:13" ht="15" x14ac:dyDescent="0.25">
      <c r="B7" s="97">
        <f t="shared" si="0"/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"/>
    </row>
    <row r="8" spans="1:13" ht="15" x14ac:dyDescent="0.25">
      <c r="B8" s="97">
        <f t="shared" si="0"/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1"/>
    </row>
    <row r="9" spans="1:13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"/>
    </row>
    <row r="10" spans="1:13" ht="15" x14ac:dyDescent="0.25">
      <c r="B10" s="97">
        <f t="shared" si="0"/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"/>
    </row>
    <row r="11" spans="1:13" ht="15" x14ac:dyDescent="0.25">
      <c r="B11" s="97">
        <f t="shared" si="0"/>
        <v>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"/>
    </row>
    <row r="12" spans="1:13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"/>
    </row>
    <row r="13" spans="1:13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"/>
    </row>
    <row r="14" spans="1:13" ht="15" x14ac:dyDescent="0.25">
      <c r="B14" s="97">
        <f t="shared" si="0"/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"/>
    </row>
    <row r="15" spans="1:13" ht="15" x14ac:dyDescent="0.25">
      <c r="B15" s="97">
        <f t="shared" si="0"/>
        <v>13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"/>
    </row>
    <row r="16" spans="1:13" ht="15" x14ac:dyDescent="0.25">
      <c r="B16" s="97">
        <f t="shared" si="0"/>
        <v>14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1"/>
    </row>
    <row r="17" spans="2:11" ht="15" x14ac:dyDescent="0.25">
      <c r="B17" s="97">
        <f t="shared" si="0"/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"/>
    </row>
    <row r="18" spans="2:11" ht="15" x14ac:dyDescent="0.25">
      <c r="B18" s="97">
        <f t="shared" si="0"/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"/>
    </row>
    <row r="19" spans="2:11" ht="15" x14ac:dyDescent="0.25">
      <c r="B19" s="97">
        <f t="shared" si="0"/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"/>
    </row>
    <row r="20" spans="2:11" ht="15" x14ac:dyDescent="0.25">
      <c r="B20" s="97">
        <f t="shared" si="0"/>
        <v>18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"/>
    </row>
    <row r="21" spans="2:11" ht="15" x14ac:dyDescent="0.25">
      <c r="B21" s="97">
        <f t="shared" si="0"/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"/>
    </row>
    <row r="22" spans="2:11" ht="15" x14ac:dyDescent="0.25">
      <c r="B22" s="97">
        <f t="shared" si="0"/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"/>
    </row>
    <row r="23" spans="2:11" ht="15" x14ac:dyDescent="0.25">
      <c r="B23" s="97">
        <f t="shared" si="0"/>
        <v>21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/>
      <c r="K23" s="1"/>
    </row>
    <row r="24" spans="2:11" ht="15" x14ac:dyDescent="0.25">
      <c r="B24" s="97">
        <f t="shared" si="0"/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/>
      <c r="K24" s="1"/>
    </row>
    <row r="25" spans="2:11" ht="15" x14ac:dyDescent="0.25">
      <c r="B25" s="97">
        <f t="shared" si="0"/>
        <v>23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/>
      <c r="K25" s="1"/>
    </row>
    <row r="26" spans="2:11" ht="15" x14ac:dyDescent="0.25">
      <c r="B26" s="97">
        <f t="shared" si="0"/>
        <v>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/>
      <c r="K26" s="1"/>
    </row>
    <row r="27" spans="2:11" ht="15" x14ac:dyDescent="0.25">
      <c r="B27" s="97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/>
      <c r="K27" s="1"/>
    </row>
    <row r="28" spans="2:11" ht="15" x14ac:dyDescent="0.25">
      <c r="B28" s="97">
        <v>26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/>
      <c r="K28" s="1"/>
    </row>
    <row r="29" spans="2:11" ht="15" x14ac:dyDescent="0.25">
      <c r="B29" s="97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/>
      <c r="K29" s="1"/>
    </row>
    <row r="30" spans="2:11" ht="15" x14ac:dyDescent="0.25">
      <c r="B30" s="97">
        <v>28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/>
      <c r="K30" s="1"/>
    </row>
    <row r="31" spans="2:11" ht="15" x14ac:dyDescent="0.25">
      <c r="B31" s="97">
        <v>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/>
      <c r="K31" s="1"/>
    </row>
    <row r="32" spans="2:11" ht="15" x14ac:dyDescent="0.25">
      <c r="B32" s="97">
        <v>30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/>
      <c r="K32" s="1"/>
    </row>
    <row r="33" spans="2:11" ht="15" x14ac:dyDescent="0.25">
      <c r="B33" s="97">
        <v>31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/>
      <c r="K33" s="1"/>
    </row>
    <row r="34" spans="2:11" ht="15" x14ac:dyDescent="0.25">
      <c r="B34" s="97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/>
      <c r="K34" s="1"/>
    </row>
    <row r="35" spans="2:11" ht="15" x14ac:dyDescent="0.25">
      <c r="B35" s="97">
        <v>33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/>
      <c r="K35" s="1"/>
    </row>
    <row r="36" spans="2:11" ht="15" x14ac:dyDescent="0.25">
      <c r="B36" s="97">
        <v>34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/>
      <c r="K36" s="1"/>
    </row>
    <row r="37" spans="2:11" ht="15" x14ac:dyDescent="0.25">
      <c r="B37" s="97">
        <v>35</v>
      </c>
      <c r="C37" s="4">
        <v>0</v>
      </c>
      <c r="D37" s="4">
        <v>0</v>
      </c>
      <c r="E37" s="4">
        <v>0</v>
      </c>
      <c r="F37" s="4"/>
      <c r="G37" s="4">
        <v>0</v>
      </c>
      <c r="H37" s="4">
        <v>0</v>
      </c>
      <c r="I37" s="4">
        <v>0</v>
      </c>
      <c r="J37" s="4"/>
      <c r="K37" s="1"/>
    </row>
    <row r="38" spans="2:11" ht="15" x14ac:dyDescent="0.25">
      <c r="B38" s="97">
        <v>36</v>
      </c>
      <c r="C38" s="4">
        <v>0</v>
      </c>
      <c r="D38" s="4">
        <v>0</v>
      </c>
      <c r="E38" s="4">
        <v>0</v>
      </c>
      <c r="F38" s="4"/>
      <c r="G38" s="4">
        <v>0</v>
      </c>
      <c r="H38" s="4">
        <v>0</v>
      </c>
      <c r="I38" s="4">
        <v>0</v>
      </c>
      <c r="J38" s="4"/>
      <c r="K38" s="1"/>
    </row>
    <row r="39" spans="2:11" ht="15" x14ac:dyDescent="0.25">
      <c r="B39" s="97">
        <v>37</v>
      </c>
      <c r="C39" s="4">
        <v>0</v>
      </c>
      <c r="D39" s="4">
        <v>0</v>
      </c>
      <c r="E39" s="4">
        <v>0</v>
      </c>
      <c r="F39" s="4"/>
      <c r="G39" s="4">
        <v>0</v>
      </c>
      <c r="H39" s="4">
        <v>0</v>
      </c>
      <c r="I39" s="4">
        <v>0</v>
      </c>
      <c r="J39" s="4"/>
      <c r="K39" s="1"/>
    </row>
    <row r="40" spans="2:11" ht="15" x14ac:dyDescent="0.25">
      <c r="B40" s="97">
        <v>38</v>
      </c>
      <c r="C40" s="4">
        <v>0</v>
      </c>
      <c r="D40" s="4">
        <v>0</v>
      </c>
      <c r="E40" s="4">
        <v>0</v>
      </c>
      <c r="F40" s="4"/>
      <c r="G40" s="4">
        <v>0</v>
      </c>
      <c r="H40" s="4">
        <v>0</v>
      </c>
      <c r="I40" s="4">
        <v>0</v>
      </c>
      <c r="J40" s="4"/>
      <c r="K40" s="1"/>
    </row>
    <row r="41" spans="2:11" ht="15" x14ac:dyDescent="0.25">
      <c r="B41" s="97">
        <f t="shared" si="0"/>
        <v>39</v>
      </c>
      <c r="C41" s="4">
        <v>0</v>
      </c>
      <c r="D41" s="4">
        <v>0</v>
      </c>
      <c r="E41" s="4"/>
      <c r="F41" s="4"/>
      <c r="G41" s="4">
        <v>0</v>
      </c>
      <c r="H41" s="4">
        <v>0</v>
      </c>
      <c r="I41" s="4">
        <v>0</v>
      </c>
      <c r="J41" s="4"/>
      <c r="K41" s="1"/>
    </row>
    <row r="42" spans="2:11" ht="15" x14ac:dyDescent="0.25">
      <c r="B42" s="97">
        <f t="shared" si="0"/>
        <v>40</v>
      </c>
      <c r="C42" s="4">
        <v>0</v>
      </c>
      <c r="D42" s="4">
        <v>0</v>
      </c>
      <c r="E42" s="4"/>
      <c r="F42" s="4"/>
      <c r="G42" s="4">
        <v>0</v>
      </c>
      <c r="H42" s="4">
        <v>0</v>
      </c>
      <c r="I42" s="4">
        <v>0</v>
      </c>
      <c r="J42" s="4"/>
      <c r="K42" s="1"/>
    </row>
    <row r="43" spans="2:11" ht="15" x14ac:dyDescent="0.25">
      <c r="B43" s="97">
        <f t="shared" si="0"/>
        <v>41</v>
      </c>
      <c r="C43" s="4">
        <v>0</v>
      </c>
      <c r="D43" s="4"/>
      <c r="E43" s="4"/>
      <c r="F43" s="4"/>
      <c r="G43" s="4">
        <v>0</v>
      </c>
      <c r="H43" s="4">
        <v>0</v>
      </c>
      <c r="I43" s="4">
        <v>0</v>
      </c>
      <c r="J43" s="4"/>
      <c r="K43" s="1"/>
    </row>
    <row r="44" spans="2:11" ht="15" x14ac:dyDescent="0.25">
      <c r="B44" s="97">
        <f t="shared" si="0"/>
        <v>42</v>
      </c>
      <c r="C44" s="4">
        <v>0</v>
      </c>
      <c r="D44" s="4"/>
      <c r="E44" s="4"/>
      <c r="F44" s="4"/>
      <c r="G44" s="4">
        <v>0</v>
      </c>
      <c r="H44" s="4">
        <v>0</v>
      </c>
      <c r="I44" s="4">
        <v>0</v>
      </c>
      <c r="J44" s="4"/>
      <c r="K44" s="1"/>
    </row>
    <row r="45" spans="2:11" ht="15" x14ac:dyDescent="0.25">
      <c r="B45" s="97">
        <v>43</v>
      </c>
      <c r="C45" s="4">
        <v>0</v>
      </c>
      <c r="D45" s="4"/>
      <c r="E45" s="4"/>
      <c r="F45" s="4"/>
      <c r="G45" s="4">
        <v>0</v>
      </c>
      <c r="H45" s="4">
        <v>0</v>
      </c>
      <c r="I45" s="4">
        <v>0</v>
      </c>
      <c r="J45" s="4"/>
      <c r="K45" s="1"/>
    </row>
    <row r="46" spans="2:11" ht="15" x14ac:dyDescent="0.25">
      <c r="B46" s="97">
        <v>44</v>
      </c>
      <c r="C46" s="4"/>
      <c r="D46" s="4"/>
      <c r="E46" s="4"/>
      <c r="F46" s="4"/>
      <c r="G46" s="4">
        <v>0</v>
      </c>
      <c r="H46" s="4">
        <v>0</v>
      </c>
      <c r="I46" s="4">
        <v>0</v>
      </c>
      <c r="J46" s="4"/>
      <c r="K46" s="1"/>
    </row>
    <row r="47" spans="2:11" ht="15" x14ac:dyDescent="0.25">
      <c r="B47" s="97">
        <v>45</v>
      </c>
      <c r="C47" s="4"/>
      <c r="D47" s="4"/>
      <c r="E47" s="4"/>
      <c r="F47" s="4"/>
      <c r="G47" s="4">
        <v>0</v>
      </c>
      <c r="H47" s="4">
        <v>0</v>
      </c>
      <c r="I47" s="4">
        <v>0</v>
      </c>
      <c r="J47" s="4"/>
      <c r="K47" s="1"/>
    </row>
    <row r="48" spans="2:11" ht="15" x14ac:dyDescent="0.25">
      <c r="B48" s="97">
        <v>46</v>
      </c>
      <c r="C48" s="4"/>
      <c r="D48" s="4"/>
      <c r="E48" s="4"/>
      <c r="F48" s="4"/>
      <c r="G48" s="4">
        <v>0</v>
      </c>
      <c r="H48" s="4">
        <v>0</v>
      </c>
      <c r="I48" s="4">
        <v>0</v>
      </c>
      <c r="J48" s="4"/>
      <c r="K48" s="1"/>
    </row>
    <row r="49" spans="2:17" ht="15" x14ac:dyDescent="0.25">
      <c r="B49" s="97">
        <v>47</v>
      </c>
      <c r="C49" s="4"/>
      <c r="D49" s="4"/>
      <c r="E49" s="4"/>
      <c r="F49" s="4"/>
      <c r="G49" s="4">
        <v>0</v>
      </c>
      <c r="H49" s="4">
        <v>0</v>
      </c>
      <c r="I49" s="4">
        <v>0</v>
      </c>
      <c r="J49" s="4"/>
      <c r="K49" s="1"/>
    </row>
    <row r="50" spans="2:17" ht="15" x14ac:dyDescent="0.25">
      <c r="B50" s="97">
        <v>48</v>
      </c>
      <c r="C50" s="4"/>
      <c r="D50" s="4"/>
      <c r="E50" s="4"/>
      <c r="F50" s="4"/>
      <c r="G50" s="4">
        <v>0</v>
      </c>
      <c r="H50" s="4">
        <v>0</v>
      </c>
      <c r="I50" s="4">
        <v>0</v>
      </c>
      <c r="J50" s="4"/>
      <c r="K50" s="1"/>
    </row>
    <row r="51" spans="2:17" ht="15" x14ac:dyDescent="0.25">
      <c r="B51" s="97">
        <v>49</v>
      </c>
      <c r="C51" s="4"/>
      <c r="D51" s="4"/>
      <c r="E51" s="4"/>
      <c r="F51" s="4"/>
      <c r="G51" s="4">
        <v>0</v>
      </c>
      <c r="H51" s="4"/>
      <c r="I51" s="4">
        <v>0</v>
      </c>
      <c r="J51" s="4"/>
      <c r="K51" s="1"/>
    </row>
    <row r="52" spans="2:17" ht="15" x14ac:dyDescent="0.25">
      <c r="B52" s="97">
        <v>50</v>
      </c>
      <c r="C52" s="4"/>
      <c r="D52" s="4"/>
      <c r="E52" s="4"/>
      <c r="F52" s="4"/>
      <c r="G52" s="4"/>
      <c r="H52" s="4"/>
      <c r="I52" s="4">
        <v>0</v>
      </c>
      <c r="J52" s="4"/>
      <c r="K52" s="1"/>
    </row>
    <row r="53" spans="2:17" ht="15" x14ac:dyDescent="0.25">
      <c r="B53" s="97">
        <v>51</v>
      </c>
      <c r="C53" s="4"/>
      <c r="D53" s="4"/>
      <c r="E53" s="4"/>
      <c r="F53" s="4"/>
      <c r="G53" s="4"/>
      <c r="H53" s="4"/>
      <c r="I53" s="4">
        <v>0</v>
      </c>
      <c r="J53" s="4"/>
      <c r="K53" s="1"/>
    </row>
    <row r="54" spans="2:17" ht="15" x14ac:dyDescent="0.25">
      <c r="B54" s="97">
        <v>52</v>
      </c>
      <c r="C54" s="4"/>
      <c r="D54" s="4"/>
      <c r="E54" s="4"/>
      <c r="F54" s="4"/>
      <c r="G54" s="4"/>
      <c r="H54" s="4"/>
      <c r="I54" s="4">
        <v>0</v>
      </c>
      <c r="J54" s="4"/>
      <c r="K54" s="1"/>
    </row>
    <row r="55" spans="2:17" ht="15" x14ac:dyDescent="0.25">
      <c r="B55" s="97">
        <v>53</v>
      </c>
      <c r="C55" s="4"/>
      <c r="D55" s="4"/>
      <c r="E55" s="4"/>
      <c r="F55" s="4"/>
      <c r="G55" s="4"/>
      <c r="H55" s="4"/>
      <c r="I55" s="4">
        <v>0</v>
      </c>
      <c r="J55" s="4"/>
      <c r="K55" s="1"/>
    </row>
    <row r="56" spans="2:17" ht="15" x14ac:dyDescent="0.25">
      <c r="B56" s="97">
        <v>54</v>
      </c>
      <c r="C56" s="4"/>
      <c r="D56" s="4"/>
      <c r="E56" s="4"/>
      <c r="F56" s="4"/>
      <c r="G56" s="4"/>
      <c r="H56" s="4"/>
      <c r="I56" s="4">
        <v>0</v>
      </c>
      <c r="J56" s="4"/>
      <c r="K56" s="1"/>
    </row>
    <row r="57" spans="2:17" ht="15" x14ac:dyDescent="0.25">
      <c r="B57" s="97">
        <v>55</v>
      </c>
      <c r="C57" s="4"/>
      <c r="D57" s="4"/>
      <c r="E57" s="4"/>
      <c r="F57" s="4"/>
      <c r="G57" s="4"/>
      <c r="H57" s="4"/>
      <c r="I57" s="4"/>
      <c r="J57" s="4"/>
      <c r="K57" s="1"/>
    </row>
    <row r="58" spans="2:17" ht="15" x14ac:dyDescent="0.25">
      <c r="B58" s="97">
        <v>56</v>
      </c>
      <c r="C58" s="4"/>
      <c r="D58" s="4"/>
      <c r="E58" s="4"/>
      <c r="F58" s="4"/>
      <c r="G58" s="4"/>
      <c r="H58" s="4"/>
      <c r="I58" s="4"/>
      <c r="J58" s="4"/>
      <c r="K58" s="1"/>
    </row>
    <row r="59" spans="2:17" ht="15" x14ac:dyDescent="0.25">
      <c r="B59" s="97">
        <v>57</v>
      </c>
      <c r="C59" s="4"/>
      <c r="D59" s="4"/>
      <c r="E59" s="4"/>
      <c r="F59" s="4"/>
      <c r="G59" s="4"/>
      <c r="H59" s="4"/>
      <c r="I59" s="4"/>
      <c r="J59" s="4"/>
      <c r="K59" s="1"/>
    </row>
    <row r="60" spans="2:17" ht="15" x14ac:dyDescent="0.25">
      <c r="B60" s="97">
        <f t="shared" si="0"/>
        <v>58</v>
      </c>
      <c r="C60" s="4"/>
      <c r="D60" s="4"/>
      <c r="E60" s="4"/>
      <c r="F60" s="4"/>
      <c r="G60" s="4"/>
      <c r="H60" s="4"/>
      <c r="I60" s="4"/>
      <c r="J60" s="4"/>
      <c r="K60" s="1"/>
    </row>
    <row r="61" spans="2:17" ht="15" x14ac:dyDescent="0.25">
      <c r="B61" s="97">
        <f t="shared" si="0"/>
        <v>59</v>
      </c>
      <c r="C61" s="4"/>
      <c r="D61" s="4"/>
      <c r="E61" s="4"/>
      <c r="F61" s="4"/>
      <c r="G61" s="4"/>
      <c r="H61" s="4"/>
      <c r="I61" s="4"/>
      <c r="J61" s="4"/>
      <c r="K61" s="1"/>
    </row>
    <row r="62" spans="2:17" ht="15" x14ac:dyDescent="0.25">
      <c r="B62" s="97">
        <f t="shared" si="0"/>
        <v>60</v>
      </c>
      <c r="C62" s="4"/>
      <c r="D62" s="4"/>
      <c r="E62" s="4"/>
      <c r="F62" s="4"/>
      <c r="G62" s="4"/>
      <c r="H62" s="4"/>
      <c r="I62" s="4"/>
      <c r="J62" s="4"/>
      <c r="K62" s="1"/>
    </row>
    <row r="63" spans="2:17" ht="15" x14ac:dyDescent="0.25">
      <c r="B63" s="97">
        <f t="shared" si="0"/>
        <v>61</v>
      </c>
      <c r="C63" s="4"/>
      <c r="D63" s="4"/>
      <c r="E63" s="4"/>
      <c r="F63" s="4"/>
      <c r="G63" s="4"/>
      <c r="H63" s="4"/>
      <c r="I63" s="4"/>
      <c r="J63" s="4"/>
      <c r="K63" s="1"/>
    </row>
    <row r="64" spans="2:17" ht="15.75" x14ac:dyDescent="0.25">
      <c r="B64" s="97">
        <f t="shared" si="0"/>
        <v>62</v>
      </c>
      <c r="C64" s="4"/>
      <c r="D64" s="4"/>
      <c r="E64" s="4"/>
      <c r="F64" s="4"/>
      <c r="G64" s="4"/>
      <c r="H64" s="4"/>
      <c r="I64" s="4"/>
      <c r="J64" s="4"/>
      <c r="K64" s="1"/>
      <c r="N64" s="28" t="s">
        <v>2</v>
      </c>
      <c r="O64" s="29"/>
      <c r="P64" s="29"/>
      <c r="Q64" s="90"/>
    </row>
    <row r="65" spans="1:17" ht="15" x14ac:dyDescent="0.25">
      <c r="B65" s="97">
        <f t="shared" si="0"/>
        <v>63</v>
      </c>
      <c r="C65" s="4"/>
      <c r="D65" s="4"/>
      <c r="E65" s="4"/>
      <c r="F65" s="4"/>
      <c r="G65" s="4"/>
      <c r="H65" s="4"/>
      <c r="I65" s="4"/>
      <c r="J65" s="4"/>
      <c r="K65" s="1"/>
      <c r="N65" s="79" t="s">
        <v>3</v>
      </c>
      <c r="O65" s="80">
        <f>COUNT(C68:J68)</f>
        <v>8</v>
      </c>
      <c r="P65" s="29"/>
      <c r="Q65" s="91"/>
    </row>
    <row r="66" spans="1:17" ht="15" x14ac:dyDescent="0.25">
      <c r="B66" s="97">
        <f t="shared" si="0"/>
        <v>64</v>
      </c>
      <c r="C66" s="4"/>
      <c r="D66" s="4"/>
      <c r="E66" s="4"/>
      <c r="F66" s="4"/>
      <c r="G66" s="4"/>
      <c r="H66" s="4"/>
      <c r="I66" s="4"/>
      <c r="J66" s="4"/>
      <c r="K66" s="1"/>
      <c r="L66" s="1"/>
      <c r="M66" s="1"/>
      <c r="N66" s="79" t="s">
        <v>36</v>
      </c>
      <c r="O66" s="99">
        <f>K69</f>
        <v>326</v>
      </c>
      <c r="P66" s="29"/>
      <c r="Q66" s="91"/>
    </row>
    <row r="67" spans="1:17" ht="15" x14ac:dyDescent="0.25">
      <c r="B67" s="97">
        <f>1+B66</f>
        <v>65</v>
      </c>
      <c r="C67" s="4"/>
      <c r="D67" s="4"/>
      <c r="E67" s="4"/>
      <c r="F67" s="4"/>
      <c r="G67" s="4"/>
      <c r="H67" s="4"/>
      <c r="I67" s="4"/>
      <c r="J67" s="4"/>
      <c r="K67" s="1"/>
      <c r="M67" s="5"/>
      <c r="N67" s="79" t="s">
        <v>4</v>
      </c>
      <c r="O67" s="80">
        <f>SUM(C68:J68)</f>
        <v>7</v>
      </c>
      <c r="P67" s="29"/>
      <c r="Q67" s="91"/>
    </row>
    <row r="68" spans="1:17" ht="15" x14ac:dyDescent="0.25">
      <c r="B68" s="92" t="s">
        <v>0</v>
      </c>
      <c r="C68" s="82">
        <f t="shared" ref="C68:J68" si="1">SUM(C3:C67)</f>
        <v>1</v>
      </c>
      <c r="D68" s="82">
        <f t="shared" si="1"/>
        <v>2</v>
      </c>
      <c r="E68" s="82">
        <f t="shared" si="1"/>
        <v>2</v>
      </c>
      <c r="F68" s="82">
        <f t="shared" si="1"/>
        <v>0</v>
      </c>
      <c r="G68" s="82">
        <f t="shared" si="1"/>
        <v>1</v>
      </c>
      <c r="H68" s="82">
        <f t="shared" si="1"/>
        <v>0</v>
      </c>
      <c r="I68" s="82">
        <f t="shared" si="1"/>
        <v>1</v>
      </c>
      <c r="J68" s="82">
        <f t="shared" si="1"/>
        <v>0</v>
      </c>
      <c r="K68" s="87">
        <f>SUM(C68:J68)</f>
        <v>7</v>
      </c>
      <c r="L68" s="7"/>
      <c r="M68" s="8"/>
      <c r="N68" s="79" t="s">
        <v>5</v>
      </c>
      <c r="O68" s="81">
        <f>AVERAGE(C68:J68)</f>
        <v>0.875</v>
      </c>
      <c r="P68" s="29"/>
      <c r="Q68" s="91"/>
    </row>
    <row r="69" spans="1:17" ht="15" x14ac:dyDescent="0.25">
      <c r="B69" s="92" t="s">
        <v>31</v>
      </c>
      <c r="C69" s="82">
        <f>COUNT(C3:C67)</f>
        <v>43</v>
      </c>
      <c r="D69" s="82">
        <f t="shared" ref="D69:J69" si="2">COUNT(D3:D67)</f>
        <v>40</v>
      </c>
      <c r="E69" s="82">
        <f t="shared" si="2"/>
        <v>38</v>
      </c>
      <c r="F69" s="82">
        <f t="shared" si="2"/>
        <v>34</v>
      </c>
      <c r="G69" s="82">
        <f t="shared" si="2"/>
        <v>49</v>
      </c>
      <c r="H69" s="82">
        <f t="shared" ref="H69" si="3">COUNT(H3:H67)</f>
        <v>48</v>
      </c>
      <c r="I69" s="82">
        <f t="shared" si="2"/>
        <v>54</v>
      </c>
      <c r="J69" s="82">
        <f t="shared" si="2"/>
        <v>20</v>
      </c>
      <c r="K69" s="87">
        <f>SUM(C69:J69)</f>
        <v>326</v>
      </c>
      <c r="L69" s="7"/>
      <c r="M69" s="8"/>
      <c r="N69" s="79" t="s">
        <v>35</v>
      </c>
      <c r="O69" s="81">
        <f>AVERAGE(C72:J72)</f>
        <v>4.5579113574303496E-3</v>
      </c>
      <c r="P69" s="29"/>
      <c r="Q69" s="91"/>
    </row>
    <row r="70" spans="1:17" ht="17.25" x14ac:dyDescent="0.25">
      <c r="B70" s="92" t="s">
        <v>32</v>
      </c>
      <c r="C70" s="82">
        <f>C69*4.52</f>
        <v>194.35999999999999</v>
      </c>
      <c r="D70" s="82">
        <f t="shared" ref="D70:J70" si="4">D69*4.52</f>
        <v>180.79999999999998</v>
      </c>
      <c r="E70" s="82">
        <f t="shared" si="4"/>
        <v>171.76</v>
      </c>
      <c r="F70" s="82">
        <f t="shared" si="4"/>
        <v>153.67999999999998</v>
      </c>
      <c r="G70" s="82">
        <f t="shared" si="4"/>
        <v>221.48</v>
      </c>
      <c r="H70" s="82">
        <f t="shared" si="4"/>
        <v>216.95999999999998</v>
      </c>
      <c r="I70" s="82">
        <f t="shared" si="4"/>
        <v>244.07999999999998</v>
      </c>
      <c r="J70" s="82">
        <f t="shared" si="4"/>
        <v>90.399999999999991</v>
      </c>
      <c r="K70" s="82">
        <f>K69*4.52</f>
        <v>1473.5199999999998</v>
      </c>
      <c r="L70" s="7"/>
      <c r="M70" s="8"/>
      <c r="N70" s="79" t="s">
        <v>6</v>
      </c>
      <c r="O70" s="100">
        <f>VAR(C72:J72)</f>
        <v>2.2200004051004352E-5</v>
      </c>
      <c r="P70" s="29"/>
      <c r="Q70" s="91"/>
    </row>
    <row r="71" spans="1:17" ht="15" x14ac:dyDescent="0.25">
      <c r="B71" s="92" t="s">
        <v>37</v>
      </c>
      <c r="C71" s="82">
        <f>C70/1000000</f>
        <v>1.9435999999999998E-4</v>
      </c>
      <c r="D71" s="82">
        <f t="shared" ref="D71:K71" si="5">D70/1000000</f>
        <v>1.8079999999999998E-4</v>
      </c>
      <c r="E71" s="82">
        <f t="shared" si="5"/>
        <v>1.7176E-4</v>
      </c>
      <c r="F71" s="82">
        <f t="shared" si="5"/>
        <v>1.5367999999999998E-4</v>
      </c>
      <c r="G71" s="82">
        <f t="shared" si="5"/>
        <v>2.2148E-4</v>
      </c>
      <c r="H71" s="82">
        <f t="shared" si="5"/>
        <v>2.1695999999999998E-4</v>
      </c>
      <c r="I71" s="82">
        <f t="shared" si="5"/>
        <v>2.4407999999999998E-4</v>
      </c>
      <c r="J71" s="82">
        <f t="shared" si="5"/>
        <v>9.0399999999999988E-5</v>
      </c>
      <c r="K71" s="82">
        <f t="shared" si="5"/>
        <v>1.4735199999999996E-3</v>
      </c>
      <c r="L71" s="7"/>
      <c r="M71" s="8"/>
      <c r="N71" s="79"/>
      <c r="O71" s="100"/>
      <c r="P71" s="29"/>
      <c r="Q71" s="91"/>
    </row>
    <row r="72" spans="1:17" ht="15" x14ac:dyDescent="0.25">
      <c r="B72" s="92" t="s">
        <v>33</v>
      </c>
      <c r="C72" s="83">
        <f>C68/C70</f>
        <v>5.1450915826301716E-3</v>
      </c>
      <c r="D72" s="83">
        <f t="shared" ref="D72:K72" si="6">D68/D70</f>
        <v>1.1061946902654869E-2</v>
      </c>
      <c r="E72" s="83">
        <f t="shared" si="6"/>
        <v>1.1644154634373545E-2</v>
      </c>
      <c r="F72" s="83">
        <f t="shared" si="6"/>
        <v>0</v>
      </c>
      <c r="G72" s="83">
        <f t="shared" si="6"/>
        <v>4.5150803684305581E-3</v>
      </c>
      <c r="H72" s="83">
        <f t="shared" si="6"/>
        <v>0</v>
      </c>
      <c r="I72" s="83">
        <f t="shared" si="6"/>
        <v>4.097017371353655E-3</v>
      </c>
      <c r="J72" s="83">
        <f t="shared" si="6"/>
        <v>0</v>
      </c>
      <c r="K72" s="83">
        <f t="shared" si="6"/>
        <v>4.7505293446984103E-3</v>
      </c>
      <c r="L72" s="10"/>
      <c r="M72" s="11"/>
      <c r="N72" s="79" t="s">
        <v>7</v>
      </c>
      <c r="O72" s="101">
        <f>SQRT(((O69+O69^2/(O69^2/(O70-O69))))/O66)</f>
        <v>2.609562644114835E-4</v>
      </c>
      <c r="P72" s="29"/>
      <c r="Q72" s="91"/>
    </row>
    <row r="73" spans="1:17" ht="15" x14ac:dyDescent="0.25">
      <c r="A73" s="12"/>
      <c r="B73" s="92" t="s">
        <v>34</v>
      </c>
      <c r="C73" s="83">
        <f t="shared" ref="C73:J73" si="7">DAYS360($A76,C2)</f>
        <v>83</v>
      </c>
      <c r="D73" s="83">
        <f t="shared" si="7"/>
        <v>83</v>
      </c>
      <c r="E73" s="83">
        <f t="shared" si="7"/>
        <v>83</v>
      </c>
      <c r="F73" s="83">
        <f t="shared" si="7"/>
        <v>83</v>
      </c>
      <c r="G73" s="83">
        <f t="shared" si="7"/>
        <v>83</v>
      </c>
      <c r="H73" s="83">
        <f t="shared" si="7"/>
        <v>83</v>
      </c>
      <c r="I73" s="83">
        <f t="shared" si="7"/>
        <v>83</v>
      </c>
      <c r="J73" s="83">
        <f t="shared" si="7"/>
        <v>83</v>
      </c>
      <c r="K73" s="13"/>
      <c r="L73" s="9"/>
      <c r="M73" s="9"/>
      <c r="Q73" s="91"/>
    </row>
    <row r="74" spans="1:17" ht="15.75" thickBot="1" x14ac:dyDescent="0.3">
      <c r="B74" s="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6"/>
      <c r="O74" s="42"/>
      <c r="P74" s="27"/>
      <c r="Q74" s="32"/>
    </row>
    <row r="75" spans="1:17" ht="29.25" thickTop="1" thickBot="1" x14ac:dyDescent="0.4">
      <c r="A75" s="14" t="s">
        <v>12</v>
      </c>
      <c r="C75" s="93" t="s">
        <v>50</v>
      </c>
      <c r="D75" s="89"/>
      <c r="E75" s="89"/>
      <c r="F75" s="89"/>
      <c r="G75" s="89"/>
      <c r="H75" s="89"/>
      <c r="I75" s="89"/>
      <c r="J75" s="89"/>
      <c r="M75" s="17"/>
      <c r="N75" s="43" t="s">
        <v>14</v>
      </c>
      <c r="O75" s="44"/>
      <c r="P75" s="45"/>
      <c r="Q75" s="46"/>
    </row>
    <row r="76" spans="1:17" ht="19.5" thickTop="1" x14ac:dyDescent="0.3">
      <c r="A76" s="86">
        <v>42319</v>
      </c>
      <c r="B76" s="102" t="s">
        <v>51</v>
      </c>
      <c r="C76" s="176" t="e">
        <f>#REF! &amp; "," &amp; G1 &amp; "," &amp; J1 &amp; "," &amp;  "," &amp;#REF!</f>
        <v>#REF!</v>
      </c>
      <c r="D76" s="176"/>
      <c r="E76" s="174" t="e">
        <f>#REF! &amp; "," &amp;#REF! &amp; "," &amp;#REF! &amp; "," &amp;#REF! &amp; "," &amp;#REF! &amp; ","</f>
        <v>#REF!</v>
      </c>
      <c r="F76" s="174"/>
      <c r="G76" s="174" t="e">
        <f>E1 &amp; "," &amp; I1 &amp; "," &amp;#REF! &amp; "," &amp;#REF! &amp; "," &amp;#REF!</f>
        <v>#REF!</v>
      </c>
      <c r="H76" s="174"/>
      <c r="I76" s="174" t="e">
        <f>F1 &amp; "," &amp;#REF! &amp; "," &amp;#REF! &amp; "," &amp;#REF! &amp; "," &amp;#REF!</f>
        <v>#REF!</v>
      </c>
      <c r="J76" s="174"/>
      <c r="M76" s="21"/>
      <c r="N76" s="52" t="s">
        <v>8</v>
      </c>
      <c r="O76" s="53" t="str">
        <f>+A1</f>
        <v>Justice Brook</v>
      </c>
      <c r="P76" s="54"/>
      <c r="Q76" s="55"/>
    </row>
    <row r="77" spans="1:17" ht="18.75" x14ac:dyDescent="0.3">
      <c r="A77" s="86"/>
      <c r="B77" s="104" t="s">
        <v>39</v>
      </c>
      <c r="C77" s="176" t="e">
        <f>G71+ J71 +#REF! +#REF! +#REF!</f>
        <v>#REF!</v>
      </c>
      <c r="D77" s="176"/>
      <c r="E77" s="174" t="e">
        <f>#REF! +#REF! +#REF! +#REF! +#REF! +#REF!</f>
        <v>#REF!</v>
      </c>
      <c r="F77" s="174"/>
      <c r="G77" s="174" t="e">
        <f>E71 + I71 +#REF! +#REF! +#REF!</f>
        <v>#REF!</v>
      </c>
      <c r="H77" s="174"/>
      <c r="I77" s="174" t="e">
        <f>F71 +#REF! +#REF! +#REF! +#REF!</f>
        <v>#REF!</v>
      </c>
      <c r="J77" s="174"/>
      <c r="M77" s="21"/>
      <c r="N77" s="52" t="s">
        <v>9</v>
      </c>
      <c r="O77" s="52">
        <f>A2</f>
        <v>2016</v>
      </c>
      <c r="P77" s="61"/>
      <c r="Q77" s="55"/>
    </row>
    <row r="78" spans="1:17" ht="18.75" x14ac:dyDescent="0.3">
      <c r="A78" s="98" t="s">
        <v>11</v>
      </c>
      <c r="B78" s="104" t="s">
        <v>38</v>
      </c>
      <c r="C78" s="174" t="e">
        <f>G68 + J68 +#REF! +#REF!</f>
        <v>#REF!</v>
      </c>
      <c r="D78" s="174"/>
      <c r="E78" s="174" t="e">
        <f>#REF! +#REF! +#REF! +#REF! +#REF!</f>
        <v>#REF!</v>
      </c>
      <c r="F78" s="174"/>
      <c r="G78" s="174" t="e">
        <f>E68 + I68 +#REF! +#REF! +#REF!</f>
        <v>#REF!</v>
      </c>
      <c r="H78" s="174"/>
      <c r="I78" s="174" t="e">
        <f>F68 +#REF! +#REF! +#REF! +#REF!</f>
        <v>#REF!</v>
      </c>
      <c r="J78" s="174"/>
      <c r="M78" s="21"/>
      <c r="N78" s="62" t="s">
        <v>10</v>
      </c>
      <c r="O78" s="109">
        <f>O65</f>
        <v>8</v>
      </c>
      <c r="P78" s="61"/>
      <c r="Q78" s="55"/>
    </row>
    <row r="79" spans="1:17" ht="18.75" x14ac:dyDescent="0.3">
      <c r="A79" s="98"/>
      <c r="B79" s="104" t="s">
        <v>40</v>
      </c>
      <c r="C79" s="174" t="e">
        <f>AVERAGE(G73,J73,#REF!,#REF!)</f>
        <v>#REF!</v>
      </c>
      <c r="D79" s="174"/>
      <c r="E79" s="175" t="e">
        <f xml:space="preserve"> AVERAGE(#REF!,#REF!,#REF!,#REF!,#REF!)</f>
        <v>#REF!</v>
      </c>
      <c r="F79" s="175"/>
      <c r="G79" s="175" t="e">
        <f xml:space="preserve"> AVERAGE(E73, I73,#REF!,#REF!,#REF!)</f>
        <v>#REF!</v>
      </c>
      <c r="H79" s="175"/>
      <c r="I79" s="175" t="e">
        <f xml:space="preserve"> AVERAGE(F73,#REF!,#REF!,#REF!,#REF!)</f>
        <v>#REF!</v>
      </c>
      <c r="J79" s="175"/>
      <c r="M79" s="21"/>
      <c r="N79" s="52" t="s">
        <v>30</v>
      </c>
      <c r="O79" s="105">
        <f>K69</f>
        <v>326</v>
      </c>
      <c r="P79" s="61"/>
      <c r="Q79" s="55"/>
    </row>
    <row r="80" spans="1:17" ht="18.75" x14ac:dyDescent="0.3">
      <c r="A80" s="98"/>
      <c r="B80" s="94" t="s">
        <v>1</v>
      </c>
      <c r="C80" s="103"/>
      <c r="D80" s="103"/>
      <c r="E80" s="103"/>
      <c r="F80" s="103"/>
      <c r="G80" s="103"/>
      <c r="H80" s="103"/>
      <c r="I80" s="103"/>
      <c r="J80" s="103"/>
      <c r="K80" s="16" t="s">
        <v>16</v>
      </c>
      <c r="L80" s="16" t="s">
        <v>15</v>
      </c>
      <c r="M80" s="21"/>
      <c r="N80" s="52" t="s">
        <v>42</v>
      </c>
      <c r="O80" s="105">
        <f>K68</f>
        <v>7</v>
      </c>
      <c r="P80" s="61"/>
      <c r="Q80" s="55"/>
    </row>
    <row r="81" spans="1:19" ht="18.75" x14ac:dyDescent="0.3">
      <c r="A81" s="22"/>
      <c r="B81" s="19">
        <v>10.9</v>
      </c>
      <c r="C81" s="171">
        <f>K68/($B$81*J73*K71)</f>
        <v>5.2509443403320546</v>
      </c>
      <c r="D81" s="172"/>
      <c r="E81" s="171" t="e">
        <f>E78/(B81*E77*E79)</f>
        <v>#REF!</v>
      </c>
      <c r="F81" s="172"/>
      <c r="G81" s="171" t="e">
        <f>G78/(B81*G77*G79)</f>
        <v>#REF!</v>
      </c>
      <c r="H81" s="180"/>
      <c r="I81" s="171" t="e">
        <f>I78/(B81*I77*I79)</f>
        <v>#REF!</v>
      </c>
      <c r="J81" s="172"/>
      <c r="K81" s="20" t="e">
        <f>AVERAGE(C81:J81)</f>
        <v>#REF!</v>
      </c>
      <c r="L81" s="20" t="e">
        <f>STDEV(C81:J81)</f>
        <v>#REF!</v>
      </c>
      <c r="M81" s="21"/>
      <c r="N81" s="52"/>
      <c r="O81" s="105"/>
      <c r="P81" s="61"/>
      <c r="Q81" s="55"/>
    </row>
    <row r="82" spans="1:19" ht="18.75" x14ac:dyDescent="0.3">
      <c r="A82" s="26"/>
      <c r="B82" s="24">
        <v>19.8</v>
      </c>
      <c r="C82" s="171">
        <f>K68/(B82*J73*K71)</f>
        <v>2.8906713792737069</v>
      </c>
      <c r="D82" s="172"/>
      <c r="E82" s="171" t="e">
        <f>E78/(B82*E77*E79)</f>
        <v>#REF!</v>
      </c>
      <c r="F82" s="172"/>
      <c r="G82" s="171" t="e">
        <f>G78/(B82*G77*G79)</f>
        <v>#REF!</v>
      </c>
      <c r="H82" s="180"/>
      <c r="I82" s="171" t="e">
        <f>I78/(B82*I77*I79)</f>
        <v>#REF!</v>
      </c>
      <c r="J82" s="172"/>
      <c r="K82" s="20" t="e">
        <f>AVERAGE(C82:J82)</f>
        <v>#REF!</v>
      </c>
      <c r="L82" s="20" t="e">
        <f>STDEV(C82:J82)</f>
        <v>#REF!</v>
      </c>
      <c r="M82" s="21"/>
      <c r="N82" s="106" t="s">
        <v>43</v>
      </c>
      <c r="O82" s="63"/>
      <c r="P82" s="61"/>
      <c r="Q82" s="55"/>
    </row>
    <row r="83" spans="1:19" ht="18.75" x14ac:dyDescent="0.3">
      <c r="B83" s="19">
        <v>28.7</v>
      </c>
      <c r="C83" s="171">
        <f>K68/(B83*J73*K71)</f>
        <v>1.9942610909275054</v>
      </c>
      <c r="D83" s="172"/>
      <c r="E83" s="171" t="e">
        <f>E78/(B83*E77*E79)</f>
        <v>#REF!</v>
      </c>
      <c r="F83" s="172"/>
      <c r="G83" s="171" t="e">
        <f>G78/(B83*G77*G79)</f>
        <v>#REF!</v>
      </c>
      <c r="H83" s="180"/>
      <c r="I83" s="171" t="e">
        <f>I78/(B83*I77*I79)</f>
        <v>#REF!</v>
      </c>
      <c r="J83" s="172"/>
      <c r="K83" s="20" t="e">
        <f>AVERAGE(C83:J83)</f>
        <v>#REF!</v>
      </c>
      <c r="L83" s="20" t="e">
        <f>STDEV(C83:J83)</f>
        <v>#REF!</v>
      </c>
      <c r="M83" s="21"/>
      <c r="N83" s="62" t="s">
        <v>44</v>
      </c>
      <c r="O83" s="107">
        <f>AVERAGE(C81:D83)</f>
        <v>3.3786256035110891</v>
      </c>
      <c r="P83" s="61" t="s">
        <v>48</v>
      </c>
      <c r="Q83" s="110">
        <f>O83/0.386</f>
        <v>8.7529160712722511</v>
      </c>
      <c r="R83" s="110" t="s">
        <v>49</v>
      </c>
    </row>
    <row r="84" spans="1:19" ht="18.75" x14ac:dyDescent="0.3">
      <c r="B84" s="19"/>
      <c r="C84" s="23"/>
      <c r="D84" s="23"/>
      <c r="E84" s="23"/>
      <c r="F84" s="23"/>
      <c r="G84" s="23"/>
      <c r="H84" s="23"/>
      <c r="I84" s="23"/>
      <c r="J84" s="23"/>
      <c r="K84" s="20"/>
      <c r="L84" s="20"/>
      <c r="M84" s="21"/>
      <c r="N84" s="71" t="s">
        <v>45</v>
      </c>
      <c r="O84" s="72">
        <f>_xlfn.VAR.S(C81:D83)</f>
        <v>2.8300709404513711</v>
      </c>
      <c r="P84" s="61" t="s">
        <v>48</v>
      </c>
      <c r="Q84" s="110">
        <f>O84/0.386</f>
        <v>7.3317900011693551</v>
      </c>
      <c r="R84" s="110" t="s">
        <v>49</v>
      </c>
    </row>
    <row r="85" spans="1:19" ht="18.75" x14ac:dyDescent="0.3">
      <c r="B85" s="77" t="s">
        <v>41</v>
      </c>
      <c r="C85" s="173">
        <f>AVERAGE(C81:C83)</f>
        <v>3.3786256035110891</v>
      </c>
      <c r="D85" s="173"/>
      <c r="E85" s="173" t="e">
        <f>AVERAGE(E81:E83)</f>
        <v>#REF!</v>
      </c>
      <c r="F85" s="173"/>
      <c r="G85" s="173" t="e">
        <f>AVERAGE(G81:G83)</f>
        <v>#REF!</v>
      </c>
      <c r="H85" s="173"/>
      <c r="I85" s="173" t="e">
        <f>AVERAGE(I81:I83)</f>
        <v>#REF!</v>
      </c>
      <c r="J85" s="173"/>
      <c r="K85" s="20"/>
      <c r="L85" s="20"/>
      <c r="M85" s="21"/>
      <c r="N85" s="71" t="s">
        <v>46</v>
      </c>
      <c r="O85" s="72">
        <f>MAX(C81:D83)</f>
        <v>5.2509443403320546</v>
      </c>
      <c r="P85" s="61" t="s">
        <v>48</v>
      </c>
      <c r="Q85" s="110">
        <f>O85/0.386</f>
        <v>13.603482746974235</v>
      </c>
      <c r="R85" s="110" t="s">
        <v>49</v>
      </c>
    </row>
    <row r="86" spans="1:19" ht="18.75" x14ac:dyDescent="0.3">
      <c r="M86" s="21"/>
      <c r="N86" s="71" t="s">
        <v>47</v>
      </c>
      <c r="O86" s="72">
        <f>MIN(C81:D83)</f>
        <v>1.9942610909275054</v>
      </c>
      <c r="P86" s="108" t="s">
        <v>48</v>
      </c>
      <c r="Q86" s="110">
        <f>O86/0.386</f>
        <v>5.1664795101748844</v>
      </c>
      <c r="R86" s="110" t="s">
        <v>49</v>
      </c>
    </row>
    <row r="87" spans="1:19" ht="18.75" x14ac:dyDescent="0.3">
      <c r="M87" s="21"/>
      <c r="N87" s="68" t="s">
        <v>53</v>
      </c>
      <c r="O87" s="72">
        <f>COUNT(C81:J83)</f>
        <v>3</v>
      </c>
      <c r="P87" s="61"/>
      <c r="Q87" s="55"/>
    </row>
    <row r="88" spans="1:19" ht="18.75" x14ac:dyDescent="0.3">
      <c r="M88" s="21"/>
      <c r="N88" s="66"/>
      <c r="O88" s="72"/>
      <c r="P88" s="61"/>
      <c r="Q88" s="61"/>
    </row>
    <row r="89" spans="1:19" ht="18.75" x14ac:dyDescent="0.3">
      <c r="A89" s="18"/>
      <c r="M89" s="21"/>
      <c r="N89" s="68" t="s">
        <v>54</v>
      </c>
      <c r="O89" s="69"/>
      <c r="P89" s="110">
        <f>O83-O92</f>
        <v>0.54252987953510567</v>
      </c>
      <c r="Q89" s="110">
        <f>O83+O92</f>
        <v>6.214721327487073</v>
      </c>
      <c r="R89" s="111" t="s">
        <v>48</v>
      </c>
      <c r="S89"/>
    </row>
    <row r="90" spans="1:19" ht="18.75" x14ac:dyDescent="0.3">
      <c r="K90" s="9"/>
      <c r="L90" s="9"/>
      <c r="M90" s="21"/>
      <c r="N90" s="71"/>
      <c r="O90" s="74"/>
      <c r="P90" s="110">
        <f>P89/0.386</f>
        <v>1.4055178226298075</v>
      </c>
      <c r="Q90" s="110">
        <f>Q89/0.386</f>
        <v>16.100314319914695</v>
      </c>
      <c r="R90" s="111" t="s">
        <v>49</v>
      </c>
    </row>
    <row r="91" spans="1:19" ht="23.25" x14ac:dyDescent="0.35">
      <c r="K91" s="38"/>
      <c r="L91" s="39"/>
      <c r="M91" s="21"/>
      <c r="O91" s="18"/>
    </row>
    <row r="92" spans="1:19" ht="23.25" x14ac:dyDescent="0.35">
      <c r="K92" s="39"/>
      <c r="L92" s="41"/>
      <c r="M92" s="21"/>
      <c r="N92" s="2" t="s">
        <v>52</v>
      </c>
      <c r="O92" s="18">
        <f>2.92*O93</f>
        <v>2.8360957239759834</v>
      </c>
    </row>
    <row r="93" spans="1:19" s="18" customFormat="1" ht="23.2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39"/>
      <c r="L93" s="41"/>
      <c r="M93" s="27"/>
      <c r="N93" s="2" t="s">
        <v>96</v>
      </c>
      <c r="O93" s="18">
        <f>SQRT(O84)/SQRT(O87)</f>
        <v>0.97126565889588479</v>
      </c>
    </row>
    <row r="94" spans="1:19" ht="15" x14ac:dyDescent="0.25">
      <c r="K94" s="48"/>
      <c r="L94" s="49"/>
      <c r="O94" s="18"/>
      <c r="P94" s="31"/>
      <c r="Q94" s="31"/>
    </row>
    <row r="95" spans="1:19" ht="17.25" customHeight="1" x14ac:dyDescent="0.25">
      <c r="K95" s="57"/>
      <c r="L95" s="49"/>
      <c r="O95" s="18"/>
      <c r="P95" s="31"/>
      <c r="Q95" s="31"/>
    </row>
    <row r="96" spans="1:19" ht="15.75" customHeight="1" x14ac:dyDescent="0.25">
      <c r="K96" s="57"/>
      <c r="L96" s="49"/>
      <c r="N96" s="18"/>
      <c r="O96" s="18"/>
      <c r="P96" s="31"/>
      <c r="Q96" s="31"/>
      <c r="S96" s="36"/>
    </row>
    <row r="97" spans="1:18" ht="15" customHeight="1" x14ac:dyDescent="0.25">
      <c r="K97" s="57"/>
      <c r="L97" s="49"/>
      <c r="N97" s="30"/>
      <c r="O97" s="31"/>
      <c r="P97" s="31"/>
      <c r="Q97" s="31"/>
    </row>
    <row r="98" spans="1:18" ht="15.75" customHeight="1" x14ac:dyDescent="0.3">
      <c r="K98" s="48"/>
      <c r="L98" s="49"/>
      <c r="N98" s="34"/>
      <c r="O98" s="35"/>
      <c r="P98" s="31"/>
      <c r="Q98" s="31"/>
    </row>
    <row r="99" spans="1:18" ht="16.5" customHeight="1" x14ac:dyDescent="0.3">
      <c r="K99" s="48"/>
      <c r="L99" s="49"/>
      <c r="M99" s="9"/>
      <c r="N99" s="34"/>
      <c r="O99" s="31"/>
    </row>
    <row r="100" spans="1:18" ht="16.5" customHeight="1" x14ac:dyDescent="0.35">
      <c r="K100" s="48"/>
      <c r="L100" s="49"/>
      <c r="M100" s="39"/>
      <c r="N100" s="34"/>
      <c r="O100" s="37"/>
    </row>
    <row r="101" spans="1:18" ht="16.5" customHeight="1" x14ac:dyDescent="0.3">
      <c r="K101" s="48"/>
      <c r="L101" s="49"/>
      <c r="M101" s="41"/>
      <c r="N101" s="34"/>
      <c r="O101" s="31"/>
    </row>
    <row r="102" spans="1:18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48"/>
      <c r="L102" s="49"/>
      <c r="M102" s="41"/>
    </row>
    <row r="103" spans="1:18" x14ac:dyDescent="0.2">
      <c r="A103" s="64"/>
      <c r="B103" s="60"/>
      <c r="C103" s="60"/>
      <c r="D103" s="60"/>
      <c r="E103" s="60"/>
      <c r="F103" s="60"/>
      <c r="G103" s="60"/>
      <c r="H103" s="60"/>
      <c r="I103" s="60"/>
      <c r="J103" s="60"/>
      <c r="K103" s="48"/>
      <c r="L103" s="49"/>
      <c r="M103" s="50"/>
      <c r="N103" s="40"/>
      <c r="P103" s="51"/>
      <c r="Q103" s="51"/>
      <c r="R103" s="51"/>
    </row>
    <row r="104" spans="1:18" x14ac:dyDescent="0.2">
      <c r="A104" s="64"/>
      <c r="B104" s="60"/>
      <c r="C104" s="60"/>
      <c r="D104" s="60"/>
      <c r="E104" s="60"/>
      <c r="F104" s="60"/>
      <c r="G104" s="60"/>
      <c r="H104" s="60"/>
      <c r="I104" s="60"/>
      <c r="J104" s="60"/>
      <c r="K104" s="48"/>
      <c r="L104" s="49"/>
      <c r="M104" s="50"/>
      <c r="N104" s="40"/>
      <c r="P104" s="51"/>
      <c r="Q104" s="60"/>
      <c r="R104" s="60"/>
    </row>
    <row r="105" spans="1:18" x14ac:dyDescent="0.2">
      <c r="A105" s="64"/>
      <c r="B105" s="60"/>
      <c r="C105" s="60"/>
      <c r="D105" s="60"/>
      <c r="E105" s="60"/>
      <c r="F105" s="60"/>
      <c r="G105" s="60"/>
      <c r="H105" s="60"/>
      <c r="I105" s="60"/>
      <c r="J105" s="60"/>
      <c r="K105" s="48"/>
      <c r="L105" s="49"/>
      <c r="M105" s="50"/>
      <c r="N105" s="40"/>
      <c r="P105" s="51"/>
      <c r="Q105" s="60"/>
      <c r="R105" s="60"/>
    </row>
    <row r="106" spans="1:18" x14ac:dyDescent="0.2">
      <c r="A106" s="64"/>
      <c r="B106" s="60"/>
      <c r="C106" s="60"/>
      <c r="D106" s="60"/>
      <c r="E106" s="60"/>
      <c r="F106" s="60"/>
      <c r="G106" s="60"/>
      <c r="H106" s="60"/>
      <c r="I106" s="60"/>
      <c r="J106" s="60"/>
      <c r="K106" s="48"/>
      <c r="L106" s="49"/>
      <c r="M106" s="50"/>
      <c r="N106" s="40"/>
      <c r="O106" s="51"/>
      <c r="P106" s="51"/>
      <c r="Q106" s="60"/>
      <c r="R106" s="60"/>
    </row>
    <row r="107" spans="1:18" x14ac:dyDescent="0.2">
      <c r="A107" s="67"/>
      <c r="B107" s="60"/>
      <c r="C107" s="60"/>
      <c r="D107" s="60"/>
      <c r="E107" s="60"/>
      <c r="F107" s="60"/>
      <c r="G107" s="60"/>
      <c r="H107" s="60"/>
      <c r="I107" s="60"/>
      <c r="J107" s="60"/>
      <c r="K107" s="48"/>
      <c r="L107" s="49"/>
      <c r="M107" s="50"/>
      <c r="N107" s="58"/>
      <c r="O107" s="59"/>
      <c r="P107" s="51"/>
      <c r="Q107" s="60"/>
      <c r="R107" s="60"/>
    </row>
    <row r="108" spans="1:18" x14ac:dyDescent="0.2">
      <c r="A108" s="67"/>
      <c r="B108" s="60"/>
      <c r="C108" s="60"/>
      <c r="D108" s="60"/>
      <c r="E108" s="60"/>
      <c r="F108" s="60"/>
      <c r="G108" s="60"/>
      <c r="H108" s="60"/>
      <c r="I108" s="60"/>
      <c r="J108" s="60"/>
      <c r="K108" s="48"/>
      <c r="L108" s="49"/>
      <c r="M108" s="50"/>
      <c r="N108" s="58"/>
      <c r="O108" s="59"/>
      <c r="P108" s="51"/>
      <c r="Q108" s="60"/>
      <c r="R108" s="60"/>
    </row>
    <row r="109" spans="1:18" x14ac:dyDescent="0.2">
      <c r="A109" s="73"/>
      <c r="K109" s="48"/>
      <c r="L109" s="49"/>
      <c r="M109" s="50"/>
      <c r="N109" s="58"/>
      <c r="O109" s="59"/>
      <c r="P109" s="51"/>
      <c r="Q109" s="60"/>
      <c r="R109" s="60"/>
    </row>
    <row r="110" spans="1:18" x14ac:dyDescent="0.2">
      <c r="A110" s="73"/>
      <c r="B110" s="27"/>
      <c r="C110" s="75"/>
      <c r="D110" s="75"/>
      <c r="E110" s="75"/>
      <c r="F110" s="75"/>
      <c r="G110" s="75"/>
      <c r="H110" s="75"/>
      <c r="I110" s="75"/>
      <c r="J110" s="75"/>
      <c r="K110" s="48"/>
      <c r="L110" s="49"/>
      <c r="M110" s="50"/>
      <c r="N110" s="65"/>
      <c r="O110" s="59"/>
      <c r="P110" s="51"/>
      <c r="Q110" s="60"/>
      <c r="R110" s="60"/>
    </row>
    <row r="111" spans="1:18" s="60" customFormat="1" x14ac:dyDescent="0.2">
      <c r="A111" s="73"/>
      <c r="B111" s="27"/>
      <c r="C111" s="75"/>
      <c r="D111" s="75"/>
      <c r="E111" s="75"/>
      <c r="F111" s="75"/>
      <c r="G111" s="75"/>
      <c r="H111" s="75"/>
      <c r="I111" s="75"/>
      <c r="J111" s="75"/>
      <c r="K111" s="48"/>
      <c r="L111" s="49"/>
      <c r="M111" s="50"/>
      <c r="N111" s="58"/>
      <c r="O111" s="59"/>
      <c r="P111" s="51"/>
    </row>
    <row r="112" spans="1:18" s="60" customFormat="1" x14ac:dyDescent="0.2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48"/>
      <c r="L112" s="49"/>
      <c r="M112" s="50"/>
      <c r="N112" s="58"/>
      <c r="O112" s="59"/>
      <c r="P112" s="51"/>
    </row>
    <row r="113" spans="1:18" s="60" customFormat="1" x14ac:dyDescent="0.2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48"/>
      <c r="L113" s="49"/>
      <c r="M113" s="50"/>
      <c r="N113" s="58"/>
      <c r="O113" s="59"/>
      <c r="P113" s="51"/>
    </row>
    <row r="114" spans="1:18" s="60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8"/>
      <c r="L114" s="49"/>
      <c r="M114" s="50"/>
      <c r="N114" s="58"/>
      <c r="O114" s="59"/>
      <c r="P114" s="51"/>
    </row>
    <row r="115" spans="1:18" s="60" customFormat="1" x14ac:dyDescent="0.2">
      <c r="A115" s="22"/>
      <c r="B115" s="18"/>
      <c r="C115" s="2"/>
      <c r="D115" s="2"/>
      <c r="E115" s="2"/>
      <c r="F115" s="2"/>
      <c r="G115" s="2"/>
      <c r="H115" s="2"/>
      <c r="I115" s="2"/>
      <c r="J115" s="2"/>
      <c r="K115" s="48"/>
      <c r="L115" s="49"/>
      <c r="M115" s="50"/>
      <c r="N115" s="58"/>
      <c r="O115" s="59"/>
      <c r="P115" s="51"/>
    </row>
    <row r="116" spans="1:18" s="60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8"/>
      <c r="L116" s="49"/>
      <c r="M116" s="50"/>
      <c r="N116" s="58"/>
      <c r="O116" s="59"/>
      <c r="P116" s="51"/>
    </row>
    <row r="117" spans="1:18" s="60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8"/>
      <c r="L117" s="49"/>
      <c r="M117" s="50"/>
      <c r="N117" s="58"/>
      <c r="O117" s="59"/>
      <c r="P117" s="51"/>
    </row>
    <row r="118" spans="1:18" x14ac:dyDescent="0.2">
      <c r="K118" s="48"/>
      <c r="L118" s="49"/>
      <c r="M118" s="50"/>
      <c r="N118" s="58"/>
      <c r="O118" s="59"/>
      <c r="P118" s="51"/>
      <c r="Q118" s="51"/>
      <c r="R118" s="51"/>
    </row>
    <row r="119" spans="1:18" x14ac:dyDescent="0.2">
      <c r="K119" s="48"/>
      <c r="L119" s="49"/>
      <c r="M119" s="50"/>
      <c r="N119" s="58"/>
      <c r="O119" s="59"/>
      <c r="P119" s="51"/>
      <c r="Q119" s="51"/>
      <c r="R119" s="51"/>
    </row>
    <row r="120" spans="1:18" x14ac:dyDescent="0.2">
      <c r="K120" s="48"/>
      <c r="L120" s="49"/>
      <c r="M120" s="50"/>
      <c r="N120" s="58"/>
      <c r="O120" s="59"/>
      <c r="P120" s="51"/>
      <c r="Q120" s="51"/>
      <c r="R120" s="51"/>
    </row>
    <row r="121" spans="1:18" x14ac:dyDescent="0.2">
      <c r="K121" s="48"/>
      <c r="L121" s="49"/>
      <c r="M121" s="50"/>
      <c r="N121" s="58"/>
      <c r="O121" s="51"/>
      <c r="P121" s="51"/>
      <c r="Q121" s="51"/>
      <c r="R121" s="51"/>
    </row>
    <row r="122" spans="1:18" x14ac:dyDescent="0.2">
      <c r="K122" s="40"/>
      <c r="L122" s="50"/>
      <c r="M122" s="50"/>
      <c r="N122" s="58"/>
      <c r="O122" s="51"/>
      <c r="P122" s="51"/>
      <c r="Q122" s="51"/>
      <c r="R122" s="51"/>
    </row>
    <row r="123" spans="1:18" x14ac:dyDescent="0.2">
      <c r="K123" s="40"/>
      <c r="L123" s="40"/>
      <c r="M123" s="50"/>
      <c r="N123" s="58"/>
      <c r="O123" s="51"/>
      <c r="P123" s="51"/>
      <c r="Q123" s="51"/>
      <c r="R123" s="51"/>
    </row>
    <row r="124" spans="1:18" x14ac:dyDescent="0.2">
      <c r="M124" s="50"/>
      <c r="N124" s="58"/>
      <c r="O124" s="51"/>
      <c r="P124" s="51"/>
      <c r="Q124" s="51"/>
      <c r="R124" s="51"/>
    </row>
    <row r="125" spans="1:18" x14ac:dyDescent="0.2">
      <c r="M125" s="50"/>
      <c r="N125" s="76"/>
      <c r="O125" s="51"/>
      <c r="P125" s="51"/>
      <c r="Q125" s="51"/>
      <c r="R125" s="51"/>
    </row>
    <row r="126" spans="1:18" x14ac:dyDescent="0.2">
      <c r="M126" s="50"/>
      <c r="N126" s="76"/>
      <c r="O126" s="51"/>
      <c r="P126" s="51"/>
      <c r="Q126" s="51"/>
      <c r="R126" s="51"/>
    </row>
    <row r="127" spans="1:18" x14ac:dyDescent="0.2">
      <c r="M127" s="50"/>
      <c r="N127" s="76"/>
      <c r="O127" s="51"/>
      <c r="P127" s="51"/>
      <c r="Q127" s="51"/>
      <c r="R127" s="51"/>
    </row>
    <row r="128" spans="1:18" x14ac:dyDescent="0.2">
      <c r="M128" s="50"/>
      <c r="N128" s="76"/>
      <c r="O128" s="51"/>
      <c r="P128" s="51"/>
      <c r="Q128" s="51"/>
      <c r="R128" s="51"/>
    </row>
    <row r="129" spans="13:18" x14ac:dyDescent="0.2">
      <c r="M129" s="50"/>
      <c r="N129" s="76"/>
      <c r="O129" s="51"/>
      <c r="P129" s="51"/>
      <c r="Q129" s="51"/>
      <c r="R129" s="51"/>
    </row>
    <row r="130" spans="13:18" x14ac:dyDescent="0.2">
      <c r="M130" s="50"/>
      <c r="N130" s="76"/>
      <c r="O130" s="51"/>
      <c r="P130" s="51"/>
      <c r="Q130" s="51"/>
      <c r="R130" s="51"/>
    </row>
    <row r="131" spans="13:18" x14ac:dyDescent="0.2">
      <c r="M131" s="50"/>
      <c r="N131" s="76"/>
      <c r="O131" s="51"/>
      <c r="P131" s="51"/>
      <c r="Q131" s="51"/>
      <c r="R131" s="51"/>
    </row>
    <row r="132" spans="13:18" x14ac:dyDescent="0.2">
      <c r="M132" s="40"/>
      <c r="N132" s="76"/>
      <c r="O132" s="51"/>
      <c r="P132" s="51"/>
      <c r="Q132" s="51"/>
      <c r="R132" s="51"/>
    </row>
    <row r="133" spans="13:18" x14ac:dyDescent="0.2">
      <c r="N133" s="76"/>
      <c r="O133" s="51"/>
    </row>
    <row r="134" spans="13:18" x14ac:dyDescent="0.2">
      <c r="N134" s="76"/>
      <c r="O134" s="51"/>
    </row>
    <row r="135" spans="13:18" x14ac:dyDescent="0.2">
      <c r="N135" s="76"/>
      <c r="O135" s="51"/>
    </row>
  </sheetData>
  <mergeCells count="32"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5:D85"/>
    <mergeCell ref="E85:F85"/>
    <mergeCell ref="G85:H85"/>
    <mergeCell ref="I85:J85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7"/>
  <sheetViews>
    <sheetView workbookViewId="0">
      <pane xSplit="2" ySplit="2" topLeftCell="S33" activePane="bottomRight" state="frozen"/>
      <selection pane="topRight" activeCell="C1" sqref="C1"/>
      <selection pane="bottomLeft" activeCell="A3" sqref="A3"/>
      <selection pane="bottomRight" activeCell="B73" sqref="B73:B75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26" width="11.42578125" style="2" customWidth="1"/>
    <col min="27" max="27" width="10.7109375" style="2" customWidth="1"/>
    <col min="28" max="28" width="9.42578125" style="2" customWidth="1"/>
    <col min="29" max="29" width="2.5703125" style="2" customWidth="1"/>
    <col min="30" max="30" width="35.140625" style="2" customWidth="1"/>
    <col min="31" max="31" width="11.42578125" style="2"/>
    <col min="32" max="32" width="12.28515625" style="2" bestFit="1" customWidth="1"/>
    <col min="33" max="16384" width="11.42578125" style="2"/>
  </cols>
  <sheetData>
    <row r="1" spans="1:29" ht="15.75" x14ac:dyDescent="0.25">
      <c r="A1" s="95" t="s">
        <v>107</v>
      </c>
      <c r="B1" s="84"/>
      <c r="C1" s="85" t="s">
        <v>55</v>
      </c>
      <c r="D1" s="85" t="s">
        <v>56</v>
      </c>
      <c r="E1" s="85" t="s">
        <v>57</v>
      </c>
      <c r="F1" s="85" t="s">
        <v>61</v>
      </c>
      <c r="G1" s="85" t="s">
        <v>62</v>
      </c>
      <c r="H1" s="85" t="s">
        <v>63</v>
      </c>
      <c r="I1" s="85" t="s">
        <v>64</v>
      </c>
      <c r="J1" s="85" t="s">
        <v>65</v>
      </c>
      <c r="K1" s="85" t="s">
        <v>66</v>
      </c>
      <c r="L1" s="85" t="s">
        <v>67</v>
      </c>
      <c r="M1" s="85" t="s">
        <v>68</v>
      </c>
      <c r="N1" s="85" t="s">
        <v>84</v>
      </c>
      <c r="O1" s="85" t="s">
        <v>108</v>
      </c>
      <c r="P1" s="85" t="s">
        <v>109</v>
      </c>
      <c r="Q1" s="85" t="s">
        <v>19</v>
      </c>
      <c r="R1" s="85" t="s">
        <v>20</v>
      </c>
      <c r="S1" s="85" t="s">
        <v>21</v>
      </c>
      <c r="T1" s="85" t="s">
        <v>71</v>
      </c>
      <c r="U1" s="85" t="s">
        <v>72</v>
      </c>
      <c r="V1" s="85" t="s">
        <v>79</v>
      </c>
      <c r="W1" s="85" t="s">
        <v>80</v>
      </c>
      <c r="X1" s="85" t="s">
        <v>81</v>
      </c>
      <c r="Y1" s="85" t="s">
        <v>82</v>
      </c>
      <c r="Z1" s="85" t="s">
        <v>83</v>
      </c>
      <c r="AA1" s="1"/>
      <c r="AB1" s="1"/>
      <c r="AC1" s="1"/>
    </row>
    <row r="2" spans="1:29" ht="15" x14ac:dyDescent="0.25">
      <c r="A2" s="96">
        <v>2016</v>
      </c>
      <c r="B2" s="84" t="s">
        <v>13</v>
      </c>
      <c r="C2" s="86">
        <v>42457</v>
      </c>
      <c r="D2" s="86">
        <v>42457</v>
      </c>
      <c r="E2" s="86">
        <v>42457</v>
      </c>
      <c r="F2" s="86">
        <v>42458</v>
      </c>
      <c r="G2" s="86">
        <v>42458</v>
      </c>
      <c r="H2" s="86">
        <v>42458</v>
      </c>
      <c r="I2" s="86">
        <v>42458</v>
      </c>
      <c r="J2" s="86">
        <v>42458</v>
      </c>
      <c r="K2" s="86">
        <v>42458</v>
      </c>
      <c r="L2" s="86">
        <v>42458</v>
      </c>
      <c r="M2" s="86">
        <v>42458</v>
      </c>
      <c r="N2" s="86">
        <v>42459</v>
      </c>
      <c r="O2" s="86">
        <v>42459</v>
      </c>
      <c r="P2" s="86">
        <v>42459</v>
      </c>
      <c r="Q2" s="86">
        <v>42459</v>
      </c>
      <c r="R2" s="86">
        <v>42459</v>
      </c>
      <c r="S2" s="86">
        <v>42459</v>
      </c>
      <c r="T2" s="86">
        <v>42449</v>
      </c>
      <c r="U2" s="86">
        <v>42459</v>
      </c>
      <c r="V2" s="86">
        <v>42459</v>
      </c>
      <c r="W2" s="86">
        <v>42459</v>
      </c>
      <c r="X2" s="86">
        <v>42460</v>
      </c>
      <c r="Y2" s="86">
        <v>42460</v>
      </c>
      <c r="Z2" s="86">
        <v>42460</v>
      </c>
      <c r="AA2" s="3"/>
      <c r="AB2" s="3"/>
      <c r="AC2" s="3"/>
    </row>
    <row r="3" spans="1:29" ht="15" x14ac:dyDescent="0.25">
      <c r="B3" s="97">
        <v>1</v>
      </c>
      <c r="C3" s="4">
        <v>1</v>
      </c>
      <c r="D3" s="4">
        <v>1</v>
      </c>
      <c r="E3" s="4">
        <v>0</v>
      </c>
      <c r="F3" s="4">
        <v>0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0</v>
      </c>
      <c r="X3" s="4">
        <v>1</v>
      </c>
      <c r="Y3" s="4">
        <v>0</v>
      </c>
      <c r="Z3" s="4">
        <v>1</v>
      </c>
      <c r="AA3" s="1"/>
    </row>
    <row r="4" spans="1:29" ht="15" x14ac:dyDescent="0.25">
      <c r="B4" s="97">
        <f>1+B3</f>
        <v>2</v>
      </c>
      <c r="C4" s="4">
        <v>0</v>
      </c>
      <c r="D4" s="4">
        <v>1</v>
      </c>
      <c r="E4" s="4">
        <v>0</v>
      </c>
      <c r="F4" s="4">
        <v>0</v>
      </c>
      <c r="G4" s="4">
        <v>1</v>
      </c>
      <c r="H4" s="4">
        <v>1</v>
      </c>
      <c r="I4" s="4">
        <v>0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0</v>
      </c>
      <c r="T4" s="4">
        <v>1</v>
      </c>
      <c r="U4" s="4">
        <v>1</v>
      </c>
      <c r="V4" s="4">
        <v>0</v>
      </c>
      <c r="W4" s="4">
        <v>0</v>
      </c>
      <c r="X4" s="4">
        <v>1</v>
      </c>
      <c r="Y4" s="4">
        <v>0</v>
      </c>
      <c r="Z4" s="4">
        <v>1</v>
      </c>
      <c r="AA4" s="1"/>
    </row>
    <row r="5" spans="1:29" ht="15" x14ac:dyDescent="0.25">
      <c r="B5" s="97">
        <f t="shared" ref="B5:B58" si="0">1+B4</f>
        <v>3</v>
      </c>
      <c r="C5" s="4">
        <v>0</v>
      </c>
      <c r="D5" s="4">
        <v>1</v>
      </c>
      <c r="E5" s="4">
        <v>0</v>
      </c>
      <c r="F5" s="4">
        <v>0</v>
      </c>
      <c r="G5" s="4">
        <v>1</v>
      </c>
      <c r="H5" s="4">
        <v>1</v>
      </c>
      <c r="I5" s="4">
        <v>0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0</v>
      </c>
      <c r="P5" s="4">
        <v>1</v>
      </c>
      <c r="Q5" s="4">
        <v>1</v>
      </c>
      <c r="R5" s="4">
        <v>1</v>
      </c>
      <c r="S5" s="4">
        <v>0</v>
      </c>
      <c r="T5" s="4">
        <v>1</v>
      </c>
      <c r="U5" s="4">
        <v>1</v>
      </c>
      <c r="V5" s="4">
        <v>0</v>
      </c>
      <c r="W5" s="4">
        <v>0</v>
      </c>
      <c r="X5" s="4">
        <v>1</v>
      </c>
      <c r="Y5" s="4">
        <v>0</v>
      </c>
      <c r="Z5" s="4">
        <v>1</v>
      </c>
      <c r="AA5" s="1"/>
    </row>
    <row r="6" spans="1:29" ht="15" x14ac:dyDescent="0.25">
      <c r="B6" s="97">
        <f t="shared" si="0"/>
        <v>4</v>
      </c>
      <c r="C6" s="4">
        <v>0</v>
      </c>
      <c r="D6" s="4">
        <v>1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1</v>
      </c>
      <c r="M6" s="4">
        <v>1</v>
      </c>
      <c r="N6" s="4">
        <v>1</v>
      </c>
      <c r="O6" s="4">
        <v>0</v>
      </c>
      <c r="P6" s="4">
        <v>1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1"/>
    </row>
    <row r="7" spans="1:29" ht="15" x14ac:dyDescent="0.25">
      <c r="B7" s="97">
        <f t="shared" si="0"/>
        <v>5</v>
      </c>
      <c r="C7" s="4">
        <v>0</v>
      </c>
      <c r="D7" s="4">
        <v>1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1</v>
      </c>
      <c r="N7" s="4">
        <v>1</v>
      </c>
      <c r="O7" s="4">
        <v>0</v>
      </c>
      <c r="P7" s="4">
        <v>1</v>
      </c>
      <c r="Q7" s="4">
        <v>1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1</v>
      </c>
      <c r="AA7" s="1"/>
    </row>
    <row r="8" spans="1:29" ht="15" x14ac:dyDescent="0.25">
      <c r="B8" s="97">
        <f t="shared" si="0"/>
        <v>6</v>
      </c>
      <c r="C8" s="4">
        <v>0</v>
      </c>
      <c r="D8" s="4">
        <v>1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1"/>
    </row>
    <row r="9" spans="1:29" ht="15" x14ac:dyDescent="0.25">
      <c r="B9" s="97">
        <f t="shared" si="0"/>
        <v>7</v>
      </c>
      <c r="C9" s="4">
        <v>0</v>
      </c>
      <c r="D9" s="4">
        <v>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1"/>
    </row>
    <row r="10" spans="1:29" ht="15" x14ac:dyDescent="0.25">
      <c r="B10" s="97">
        <f t="shared" si="0"/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/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1"/>
    </row>
    <row r="11" spans="1:29" ht="15" x14ac:dyDescent="0.25">
      <c r="B11" s="97">
        <f t="shared" si="0"/>
        <v>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/>
      <c r="P11" s="4"/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1"/>
    </row>
    <row r="12" spans="1:29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/>
      <c r="P12" s="4"/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1"/>
    </row>
    <row r="13" spans="1:29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/>
      <c r="P13" s="4"/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1"/>
    </row>
    <row r="14" spans="1:29" ht="15" x14ac:dyDescent="0.25">
      <c r="B14" s="97">
        <f t="shared" si="0"/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/>
      <c r="K14" s="4">
        <v>0</v>
      </c>
      <c r="L14" s="4">
        <v>0</v>
      </c>
      <c r="M14" s="4">
        <v>1</v>
      </c>
      <c r="N14" s="4">
        <v>0</v>
      </c>
      <c r="O14" s="4"/>
      <c r="P14" s="4"/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1"/>
    </row>
    <row r="15" spans="1:29" ht="15" x14ac:dyDescent="0.25">
      <c r="B15" s="97">
        <f t="shared" si="0"/>
        <v>13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/>
      <c r="J15" s="4"/>
      <c r="K15" s="4">
        <v>0</v>
      </c>
      <c r="L15" s="4">
        <v>0</v>
      </c>
      <c r="M15" s="4">
        <v>1</v>
      </c>
      <c r="N15" s="4">
        <v>0</v>
      </c>
      <c r="O15" s="4"/>
      <c r="P15" s="4"/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1"/>
    </row>
    <row r="16" spans="1:29" ht="15" x14ac:dyDescent="0.25">
      <c r="B16" s="97">
        <f t="shared" si="0"/>
        <v>14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/>
      <c r="J16" s="4"/>
      <c r="K16" s="4">
        <v>0</v>
      </c>
      <c r="L16" s="4">
        <v>0</v>
      </c>
      <c r="M16" s="4">
        <v>1</v>
      </c>
      <c r="N16" s="4">
        <v>0</v>
      </c>
      <c r="O16" s="4"/>
      <c r="P16" s="4"/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1"/>
    </row>
    <row r="17" spans="2:27" ht="15" x14ac:dyDescent="0.25">
      <c r="B17" s="97">
        <f t="shared" si="0"/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/>
      <c r="J17" s="4"/>
      <c r="K17" s="4">
        <v>0</v>
      </c>
      <c r="L17" s="4">
        <v>0</v>
      </c>
      <c r="M17" s="4">
        <v>1</v>
      </c>
      <c r="N17" s="4">
        <v>0</v>
      </c>
      <c r="O17" s="4"/>
      <c r="P17" s="4"/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1"/>
    </row>
    <row r="18" spans="2:27" ht="15" x14ac:dyDescent="0.25">
      <c r="B18" s="97">
        <f t="shared" si="0"/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/>
      <c r="J18" s="4"/>
      <c r="K18" s="4">
        <v>0</v>
      </c>
      <c r="L18" s="4">
        <v>0</v>
      </c>
      <c r="M18" s="4">
        <v>1</v>
      </c>
      <c r="N18" s="4">
        <v>0</v>
      </c>
      <c r="O18" s="4"/>
      <c r="P18" s="4"/>
      <c r="Q18" s="4">
        <v>0</v>
      </c>
      <c r="R18" s="4">
        <v>0</v>
      </c>
      <c r="S18" s="4"/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1"/>
    </row>
    <row r="19" spans="2:27" ht="15" x14ac:dyDescent="0.25">
      <c r="B19" s="97">
        <f t="shared" si="0"/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/>
      <c r="J19" s="4"/>
      <c r="K19" s="4">
        <v>0</v>
      </c>
      <c r="L19" s="4">
        <v>0</v>
      </c>
      <c r="M19" s="4">
        <v>1</v>
      </c>
      <c r="N19" s="4">
        <v>0</v>
      </c>
      <c r="O19" s="4"/>
      <c r="P19" s="4"/>
      <c r="Q19" s="4">
        <v>0</v>
      </c>
      <c r="R19" s="4">
        <v>0</v>
      </c>
      <c r="S19" s="4"/>
      <c r="T19" s="4">
        <v>0</v>
      </c>
      <c r="U19" s="4"/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1"/>
    </row>
    <row r="20" spans="2:27" ht="15" x14ac:dyDescent="0.25">
      <c r="B20" s="97">
        <f t="shared" si="0"/>
        <v>18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/>
      <c r="J20" s="4"/>
      <c r="K20" s="4">
        <v>0</v>
      </c>
      <c r="L20" s="4">
        <v>0</v>
      </c>
      <c r="M20" s="4">
        <v>1</v>
      </c>
      <c r="N20" s="4">
        <v>0</v>
      </c>
      <c r="O20" s="4"/>
      <c r="P20" s="4"/>
      <c r="Q20" s="4">
        <v>0</v>
      </c>
      <c r="R20" s="4">
        <v>0</v>
      </c>
      <c r="S20" s="4"/>
      <c r="T20" s="4">
        <v>0</v>
      </c>
      <c r="U20" s="4"/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1"/>
    </row>
    <row r="21" spans="2:27" ht="15" x14ac:dyDescent="0.25">
      <c r="B21" s="97">
        <f t="shared" si="0"/>
        <v>19</v>
      </c>
      <c r="C21" s="4">
        <v>0</v>
      </c>
      <c r="D21" s="4">
        <v>0</v>
      </c>
      <c r="E21" s="4">
        <v>0</v>
      </c>
      <c r="F21" s="4">
        <v>0</v>
      </c>
      <c r="G21" s="4"/>
      <c r="H21" s="4">
        <v>0</v>
      </c>
      <c r="I21" s="4"/>
      <c r="J21" s="4"/>
      <c r="K21" s="4"/>
      <c r="L21" s="4"/>
      <c r="M21" s="4">
        <v>1</v>
      </c>
      <c r="N21" s="4">
        <v>0</v>
      </c>
      <c r="O21" s="4"/>
      <c r="P21" s="4"/>
      <c r="Q21" s="4">
        <v>0</v>
      </c>
      <c r="R21" s="4">
        <v>0</v>
      </c>
      <c r="S21" s="4"/>
      <c r="T21" s="4">
        <v>0</v>
      </c>
      <c r="U21" s="4"/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1"/>
    </row>
    <row r="22" spans="2:27" ht="15" x14ac:dyDescent="0.25">
      <c r="B22" s="97">
        <f t="shared" si="0"/>
        <v>20</v>
      </c>
      <c r="C22" s="4">
        <v>0</v>
      </c>
      <c r="D22" s="4">
        <v>0</v>
      </c>
      <c r="E22" s="4">
        <v>0</v>
      </c>
      <c r="F22" s="4"/>
      <c r="G22" s="4"/>
      <c r="H22" s="4">
        <v>0</v>
      </c>
      <c r="I22" s="4"/>
      <c r="J22" s="4"/>
      <c r="K22" s="4"/>
      <c r="L22" s="4"/>
      <c r="M22" s="4">
        <v>1</v>
      </c>
      <c r="N22" s="4">
        <v>0</v>
      </c>
      <c r="O22" s="4"/>
      <c r="P22" s="4"/>
      <c r="Q22" s="4">
        <v>0</v>
      </c>
      <c r="R22" s="4">
        <v>0</v>
      </c>
      <c r="S22" s="4"/>
      <c r="T22" s="4">
        <v>0</v>
      </c>
      <c r="U22" s="4"/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1"/>
    </row>
    <row r="23" spans="2:27" ht="15" x14ac:dyDescent="0.25">
      <c r="B23" s="97">
        <f t="shared" si="0"/>
        <v>21</v>
      </c>
      <c r="C23" s="4">
        <v>0</v>
      </c>
      <c r="D23" s="4">
        <v>0</v>
      </c>
      <c r="E23" s="4"/>
      <c r="F23" s="4"/>
      <c r="G23" s="4"/>
      <c r="H23" s="4">
        <v>0</v>
      </c>
      <c r="I23" s="4"/>
      <c r="J23" s="4"/>
      <c r="K23" s="4"/>
      <c r="L23" s="4"/>
      <c r="M23" s="4">
        <v>1</v>
      </c>
      <c r="N23" s="4">
        <v>0</v>
      </c>
      <c r="O23" s="4"/>
      <c r="P23" s="4"/>
      <c r="Q23" s="4">
        <v>0</v>
      </c>
      <c r="R23" s="4">
        <v>0</v>
      </c>
      <c r="S23" s="4"/>
      <c r="T23" s="4"/>
      <c r="U23" s="4"/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"/>
    </row>
    <row r="24" spans="2:27" ht="15" x14ac:dyDescent="0.25">
      <c r="B24" s="97">
        <f t="shared" si="0"/>
        <v>22</v>
      </c>
      <c r="C24" s="4">
        <v>0</v>
      </c>
      <c r="D24" s="4">
        <v>0</v>
      </c>
      <c r="E24" s="4"/>
      <c r="F24" s="4"/>
      <c r="G24" s="4"/>
      <c r="H24" s="4">
        <v>0</v>
      </c>
      <c r="I24" s="4"/>
      <c r="J24" s="4"/>
      <c r="K24" s="4"/>
      <c r="L24" s="4"/>
      <c r="M24" s="4">
        <v>1</v>
      </c>
      <c r="N24" s="4">
        <v>0</v>
      </c>
      <c r="O24" s="4"/>
      <c r="P24" s="4"/>
      <c r="Q24" s="4">
        <v>0</v>
      </c>
      <c r="R24" s="4">
        <v>0</v>
      </c>
      <c r="S24" s="4"/>
      <c r="T24" s="4"/>
      <c r="U24" s="4"/>
      <c r="V24" s="4">
        <v>0</v>
      </c>
      <c r="W24" s="4"/>
      <c r="X24" s="4">
        <v>0</v>
      </c>
      <c r="Y24" s="4">
        <v>0</v>
      </c>
      <c r="Z24" s="4">
        <v>0</v>
      </c>
      <c r="AA24" s="1"/>
    </row>
    <row r="25" spans="2:27" ht="15" x14ac:dyDescent="0.25">
      <c r="B25" s="97">
        <f t="shared" si="0"/>
        <v>23</v>
      </c>
      <c r="C25" s="4">
        <v>0</v>
      </c>
      <c r="D25" s="4"/>
      <c r="E25" s="4"/>
      <c r="F25" s="4"/>
      <c r="G25" s="4"/>
      <c r="H25" s="4">
        <v>0</v>
      </c>
      <c r="I25" s="4"/>
      <c r="J25" s="4"/>
      <c r="K25" s="4"/>
      <c r="L25" s="4"/>
      <c r="M25" s="4">
        <v>0</v>
      </c>
      <c r="N25" s="4">
        <v>0</v>
      </c>
      <c r="O25" s="4"/>
      <c r="P25" s="4"/>
      <c r="Q25" s="4">
        <v>0</v>
      </c>
      <c r="R25" s="4">
        <v>0</v>
      </c>
      <c r="S25" s="4"/>
      <c r="T25" s="4"/>
      <c r="U25" s="4"/>
      <c r="V25" s="4">
        <v>0</v>
      </c>
      <c r="W25" s="4"/>
      <c r="X25" s="4">
        <v>0</v>
      </c>
      <c r="Y25" s="4">
        <v>0</v>
      </c>
      <c r="Z25" s="4">
        <v>0</v>
      </c>
      <c r="AA25" s="1"/>
    </row>
    <row r="26" spans="2:27" ht="15" x14ac:dyDescent="0.25">
      <c r="B26" s="97">
        <f t="shared" si="0"/>
        <v>24</v>
      </c>
      <c r="C26" s="4">
        <v>0</v>
      </c>
      <c r="D26" s="4"/>
      <c r="E26" s="4"/>
      <c r="F26" s="4"/>
      <c r="G26" s="4"/>
      <c r="H26" s="4">
        <v>0</v>
      </c>
      <c r="I26" s="4"/>
      <c r="J26" s="4"/>
      <c r="K26" s="4"/>
      <c r="L26" s="4"/>
      <c r="M26" s="4">
        <v>0</v>
      </c>
      <c r="N26" s="4">
        <v>0</v>
      </c>
      <c r="O26" s="4"/>
      <c r="P26" s="4"/>
      <c r="Q26" s="4">
        <v>0</v>
      </c>
      <c r="R26" s="4">
        <v>0</v>
      </c>
      <c r="S26" s="4"/>
      <c r="T26" s="4"/>
      <c r="U26" s="4"/>
      <c r="V26" s="4">
        <v>0</v>
      </c>
      <c r="W26" s="4"/>
      <c r="X26" s="4">
        <v>0</v>
      </c>
      <c r="Y26" s="4">
        <v>0</v>
      </c>
      <c r="Z26" s="4">
        <v>0</v>
      </c>
      <c r="AA26" s="1"/>
    </row>
    <row r="27" spans="2:27" ht="15" x14ac:dyDescent="0.25">
      <c r="B27" s="97">
        <v>25</v>
      </c>
      <c r="C27" s="4">
        <v>0</v>
      </c>
      <c r="D27" s="4"/>
      <c r="E27" s="4"/>
      <c r="F27" s="4"/>
      <c r="G27" s="4"/>
      <c r="H27" s="4"/>
      <c r="I27" s="4"/>
      <c r="J27" s="4"/>
      <c r="K27" s="4"/>
      <c r="L27" s="4"/>
      <c r="M27" s="4">
        <v>0</v>
      </c>
      <c r="N27" s="4">
        <v>0</v>
      </c>
      <c r="O27" s="4"/>
      <c r="P27" s="4"/>
      <c r="Q27" s="4">
        <v>0</v>
      </c>
      <c r="R27" s="4">
        <v>0</v>
      </c>
      <c r="S27" s="4"/>
      <c r="T27" s="4"/>
      <c r="U27" s="4"/>
      <c r="V27" s="4">
        <v>0</v>
      </c>
      <c r="W27" s="4"/>
      <c r="X27" s="4">
        <v>0</v>
      </c>
      <c r="Y27" s="4"/>
      <c r="Z27" s="4">
        <v>0</v>
      </c>
      <c r="AA27" s="1"/>
    </row>
    <row r="28" spans="2:27" ht="15" x14ac:dyDescent="0.25">
      <c r="B28" s="97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v>0</v>
      </c>
      <c r="N28" s="4">
        <v>0</v>
      </c>
      <c r="O28" s="4"/>
      <c r="P28" s="4"/>
      <c r="Q28" s="4">
        <v>0</v>
      </c>
      <c r="R28" s="4">
        <v>0</v>
      </c>
      <c r="S28" s="4"/>
      <c r="T28" s="4"/>
      <c r="U28" s="4"/>
      <c r="V28" s="4">
        <v>0</v>
      </c>
      <c r="W28" s="4"/>
      <c r="X28" s="4">
        <v>0</v>
      </c>
      <c r="Y28" s="4"/>
      <c r="Z28" s="4">
        <v>0</v>
      </c>
      <c r="AA28" s="1"/>
    </row>
    <row r="29" spans="2:27" ht="15" x14ac:dyDescent="0.25">
      <c r="B29" s="97">
        <v>27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v>0</v>
      </c>
      <c r="N29" s="4">
        <v>0</v>
      </c>
      <c r="O29" s="4"/>
      <c r="P29" s="4"/>
      <c r="Q29" s="4">
        <v>0</v>
      </c>
      <c r="R29" s="4">
        <v>0</v>
      </c>
      <c r="S29" s="4"/>
      <c r="T29" s="4"/>
      <c r="U29" s="4"/>
      <c r="V29" s="4">
        <v>0</v>
      </c>
      <c r="W29" s="4"/>
      <c r="X29" s="4">
        <v>0</v>
      </c>
      <c r="Y29" s="4"/>
      <c r="Z29" s="4">
        <v>0</v>
      </c>
      <c r="AA29" s="1"/>
    </row>
    <row r="30" spans="2:27" ht="15" x14ac:dyDescent="0.25">
      <c r="B30" s="97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0</v>
      </c>
      <c r="N30" s="4">
        <v>0</v>
      </c>
      <c r="O30" s="4"/>
      <c r="P30" s="4"/>
      <c r="Q30" s="4">
        <v>0</v>
      </c>
      <c r="R30" s="4">
        <v>0</v>
      </c>
      <c r="S30" s="4"/>
      <c r="T30" s="4"/>
      <c r="U30" s="4"/>
      <c r="V30" s="4">
        <v>0</v>
      </c>
      <c r="W30" s="4"/>
      <c r="X30" s="4">
        <v>0</v>
      </c>
      <c r="Y30" s="4"/>
      <c r="Z30" s="4">
        <v>0</v>
      </c>
      <c r="AA30" s="1"/>
    </row>
    <row r="31" spans="2:27" ht="15" x14ac:dyDescent="0.25">
      <c r="B31" s="97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v>0</v>
      </c>
      <c r="N31" s="4">
        <v>0</v>
      </c>
      <c r="O31" s="4"/>
      <c r="P31" s="4"/>
      <c r="Q31" s="4">
        <v>0</v>
      </c>
      <c r="R31" s="4">
        <v>0</v>
      </c>
      <c r="S31" s="4"/>
      <c r="T31" s="4"/>
      <c r="U31" s="4"/>
      <c r="V31" s="4">
        <v>0</v>
      </c>
      <c r="W31" s="4"/>
      <c r="X31" s="4">
        <v>0</v>
      </c>
      <c r="Y31" s="4"/>
      <c r="Z31" s="4">
        <v>0</v>
      </c>
      <c r="AA31" s="1"/>
    </row>
    <row r="32" spans="2:27" ht="15" x14ac:dyDescent="0.25">
      <c r="B32" s="97">
        <v>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0</v>
      </c>
      <c r="O32" s="4"/>
      <c r="P32" s="4"/>
      <c r="Q32" s="4">
        <v>0</v>
      </c>
      <c r="R32" s="4">
        <v>0</v>
      </c>
      <c r="S32" s="4"/>
      <c r="T32" s="4"/>
      <c r="U32" s="4"/>
      <c r="V32" s="4">
        <v>0</v>
      </c>
      <c r="W32" s="4"/>
      <c r="X32" s="4"/>
      <c r="Y32" s="4"/>
      <c r="Z32" s="4">
        <v>0</v>
      </c>
      <c r="AA32" s="1"/>
    </row>
    <row r="33" spans="2:27" ht="15" x14ac:dyDescent="0.25">
      <c r="B33" s="97">
        <v>31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0</v>
      </c>
      <c r="O33" s="4"/>
      <c r="P33" s="4"/>
      <c r="Q33" s="4">
        <v>0</v>
      </c>
      <c r="R33" s="4">
        <v>0</v>
      </c>
      <c r="S33" s="4"/>
      <c r="T33" s="4"/>
      <c r="U33" s="4"/>
      <c r="V33" s="4">
        <v>0</v>
      </c>
      <c r="W33" s="4"/>
      <c r="X33" s="4"/>
      <c r="Y33" s="4"/>
      <c r="Z33" s="4">
        <v>0</v>
      </c>
      <c r="AA33" s="1"/>
    </row>
    <row r="34" spans="2:27" ht="15" x14ac:dyDescent="0.25">
      <c r="B34" s="97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0</v>
      </c>
      <c r="S34" s="4"/>
      <c r="T34" s="4"/>
      <c r="U34" s="4"/>
      <c r="V34" s="4">
        <v>0</v>
      </c>
      <c r="W34" s="4"/>
      <c r="X34" s="4"/>
      <c r="Y34" s="4"/>
      <c r="Z34" s="4">
        <v>0</v>
      </c>
      <c r="AA34" s="1"/>
    </row>
    <row r="35" spans="2:27" ht="15" x14ac:dyDescent="0.25">
      <c r="B35" s="97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0</v>
      </c>
      <c r="S35" s="4"/>
      <c r="T35" s="4"/>
      <c r="U35" s="4"/>
      <c r="V35" s="4">
        <v>0</v>
      </c>
      <c r="W35" s="4"/>
      <c r="X35" s="4"/>
      <c r="Y35" s="4"/>
      <c r="Z35" s="4">
        <v>0</v>
      </c>
      <c r="AA35" s="1"/>
    </row>
    <row r="36" spans="2:27" ht="15" x14ac:dyDescent="0.25">
      <c r="B36" s="97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0</v>
      </c>
      <c r="S36" s="4"/>
      <c r="T36" s="4"/>
      <c r="U36" s="4"/>
      <c r="V36" s="4">
        <v>0</v>
      </c>
      <c r="W36" s="4"/>
      <c r="X36" s="4"/>
      <c r="Y36" s="4"/>
      <c r="Z36" s="4">
        <v>0</v>
      </c>
      <c r="AA36" s="1"/>
    </row>
    <row r="37" spans="2:27" ht="15" x14ac:dyDescent="0.25">
      <c r="B37" s="97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0</v>
      </c>
      <c r="S37" s="4"/>
      <c r="T37" s="4"/>
      <c r="U37" s="4"/>
      <c r="V37" s="4">
        <v>0</v>
      </c>
      <c r="W37" s="4"/>
      <c r="X37" s="4"/>
      <c r="Y37" s="4"/>
      <c r="Z37" s="4">
        <v>0</v>
      </c>
      <c r="AA37" s="1"/>
    </row>
    <row r="38" spans="2:27" ht="15" x14ac:dyDescent="0.25">
      <c r="B38" s="97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0</v>
      </c>
      <c r="S38" s="4"/>
      <c r="T38" s="4"/>
      <c r="U38" s="4"/>
      <c r="V38" s="4">
        <v>0</v>
      </c>
      <c r="W38" s="4"/>
      <c r="X38" s="4"/>
      <c r="Y38" s="4"/>
      <c r="Z38" s="4">
        <v>0</v>
      </c>
      <c r="AA38" s="1"/>
    </row>
    <row r="39" spans="2:27" ht="15" x14ac:dyDescent="0.25">
      <c r="B39" s="97">
        <v>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0</v>
      </c>
      <c r="S39" s="4"/>
      <c r="T39" s="4"/>
      <c r="U39" s="4"/>
      <c r="V39" s="4">
        <v>0</v>
      </c>
      <c r="W39" s="4"/>
      <c r="X39" s="4"/>
      <c r="Y39" s="4"/>
      <c r="Z39" s="4">
        <v>0</v>
      </c>
      <c r="AA39" s="1"/>
    </row>
    <row r="40" spans="2:27" ht="15" x14ac:dyDescent="0.25">
      <c r="B40" s="97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0</v>
      </c>
      <c r="S40" s="4"/>
      <c r="T40" s="4"/>
      <c r="U40" s="4"/>
      <c r="V40" s="4">
        <v>0</v>
      </c>
      <c r="W40" s="4"/>
      <c r="X40" s="4"/>
      <c r="Y40" s="4"/>
      <c r="Z40" s="4"/>
      <c r="AA40" s="1"/>
    </row>
    <row r="41" spans="2:27" ht="15" x14ac:dyDescent="0.25">
      <c r="B41" s="97">
        <f t="shared" si="0"/>
        <v>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0</v>
      </c>
      <c r="S41" s="4"/>
      <c r="T41" s="4"/>
      <c r="U41" s="4"/>
      <c r="V41" s="4">
        <v>0</v>
      </c>
      <c r="W41" s="4"/>
      <c r="X41" s="4"/>
      <c r="Y41" s="4"/>
      <c r="Z41" s="4"/>
      <c r="AA41" s="1"/>
    </row>
    <row r="42" spans="2:27" ht="15" x14ac:dyDescent="0.25">
      <c r="B42" s="97">
        <f t="shared" si="0"/>
        <v>40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0</v>
      </c>
      <c r="S42" s="4"/>
      <c r="T42" s="4"/>
      <c r="U42" s="4"/>
      <c r="V42" s="4">
        <v>0</v>
      </c>
      <c r="W42" s="4"/>
      <c r="X42" s="4"/>
      <c r="Y42" s="4"/>
      <c r="Z42" s="4"/>
      <c r="AA42" s="1"/>
    </row>
    <row r="43" spans="2:27" ht="15" x14ac:dyDescent="0.25">
      <c r="B43" s="97">
        <f t="shared" si="0"/>
        <v>41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0</v>
      </c>
      <c r="S43" s="4"/>
      <c r="T43" s="4"/>
      <c r="U43" s="4"/>
      <c r="V43" s="4">
        <v>0</v>
      </c>
      <c r="W43" s="4"/>
      <c r="X43" s="4"/>
      <c r="Y43" s="4"/>
      <c r="Z43" s="4"/>
      <c r="AA43" s="1"/>
    </row>
    <row r="44" spans="2:27" ht="15" x14ac:dyDescent="0.25">
      <c r="B44" s="97">
        <f t="shared" si="0"/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0</v>
      </c>
      <c r="S44" s="4"/>
      <c r="T44" s="4"/>
      <c r="U44" s="4"/>
      <c r="V44" s="4">
        <v>0</v>
      </c>
      <c r="W44" s="4"/>
      <c r="X44" s="4"/>
      <c r="Y44" s="4"/>
      <c r="Z44" s="4"/>
      <c r="AA44" s="1"/>
    </row>
    <row r="45" spans="2:27" ht="15" x14ac:dyDescent="0.25">
      <c r="B45" s="97">
        <v>43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0</v>
      </c>
      <c r="S45" s="4"/>
      <c r="T45" s="4"/>
      <c r="U45" s="4"/>
      <c r="V45" s="4">
        <v>0</v>
      </c>
      <c r="W45" s="4"/>
      <c r="X45" s="4"/>
      <c r="Y45" s="4"/>
      <c r="Z45" s="4"/>
      <c r="AA45" s="1"/>
    </row>
    <row r="46" spans="2:27" ht="15" x14ac:dyDescent="0.25">
      <c r="B46" s="97">
        <v>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0</v>
      </c>
      <c r="S46" s="4"/>
      <c r="T46" s="4"/>
      <c r="U46" s="4"/>
      <c r="V46" s="4">
        <v>0</v>
      </c>
      <c r="W46" s="4"/>
      <c r="X46" s="4"/>
      <c r="Y46" s="4"/>
      <c r="Z46" s="4"/>
      <c r="AA46" s="1"/>
    </row>
    <row r="47" spans="2:27" ht="15" x14ac:dyDescent="0.25">
      <c r="B47" s="97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0</v>
      </c>
      <c r="S47" s="4"/>
      <c r="T47" s="4"/>
      <c r="U47" s="4"/>
      <c r="V47" s="4">
        <v>0</v>
      </c>
      <c r="W47" s="4"/>
      <c r="X47" s="4"/>
      <c r="Y47" s="4"/>
      <c r="Z47" s="4"/>
      <c r="AA47" s="1"/>
    </row>
    <row r="48" spans="2:27" ht="15" x14ac:dyDescent="0.25">
      <c r="B48" s="97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0</v>
      </c>
      <c r="S48" s="4"/>
      <c r="T48" s="4"/>
      <c r="U48" s="4"/>
      <c r="V48" s="4">
        <v>0</v>
      </c>
      <c r="W48" s="4"/>
      <c r="X48" s="4"/>
      <c r="Y48" s="4"/>
      <c r="Z48" s="4"/>
      <c r="AA48" s="1"/>
    </row>
    <row r="49" spans="2:33" ht="15" x14ac:dyDescent="0.25">
      <c r="B49" s="97">
        <v>47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0</v>
      </c>
      <c r="S49" s="4"/>
      <c r="T49" s="4"/>
      <c r="U49" s="4"/>
      <c r="V49" s="4"/>
      <c r="W49" s="4"/>
      <c r="X49" s="4"/>
      <c r="Y49" s="4"/>
      <c r="Z49" s="4"/>
      <c r="AA49" s="1"/>
    </row>
    <row r="50" spans="2:33" ht="15" x14ac:dyDescent="0.25">
      <c r="B50" s="97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0</v>
      </c>
      <c r="S50" s="4"/>
      <c r="T50" s="4"/>
      <c r="U50" s="4"/>
      <c r="V50" s="4"/>
      <c r="W50" s="4"/>
      <c r="X50" s="4"/>
      <c r="Y50" s="4"/>
      <c r="Z50" s="4"/>
      <c r="AA50" s="1"/>
    </row>
    <row r="51" spans="2:33" ht="15" x14ac:dyDescent="0.25">
      <c r="B51" s="97">
        <v>49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"/>
    </row>
    <row r="52" spans="2:33" ht="15" x14ac:dyDescent="0.25">
      <c r="B52" s="97">
        <f t="shared" si="0"/>
        <v>50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1"/>
    </row>
    <row r="53" spans="2:33" ht="15" x14ac:dyDescent="0.25">
      <c r="B53" s="97">
        <f t="shared" si="0"/>
        <v>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"/>
    </row>
    <row r="54" spans="2:33" ht="15" x14ac:dyDescent="0.25">
      <c r="B54" s="97">
        <f t="shared" si="0"/>
        <v>52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"/>
    </row>
    <row r="55" spans="2:33" ht="15" x14ac:dyDescent="0.25">
      <c r="B55" s="97">
        <f t="shared" si="0"/>
        <v>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"/>
    </row>
    <row r="56" spans="2:33" ht="15.75" x14ac:dyDescent="0.25">
      <c r="B56" s="97">
        <f t="shared" si="0"/>
        <v>54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"/>
      <c r="AD56" s="28" t="s">
        <v>2</v>
      </c>
      <c r="AE56" s="29"/>
      <c r="AF56" s="29"/>
      <c r="AG56" s="90"/>
    </row>
    <row r="57" spans="2:33" ht="15" x14ac:dyDescent="0.25">
      <c r="B57" s="97">
        <f t="shared" si="0"/>
        <v>55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"/>
      <c r="AD57" s="79" t="s">
        <v>3</v>
      </c>
      <c r="AE57" s="80">
        <f>COUNT(C60:Z60)</f>
        <v>24</v>
      </c>
      <c r="AF57" s="29"/>
      <c r="AG57" s="91"/>
    </row>
    <row r="58" spans="2:33" ht="15" x14ac:dyDescent="0.25">
      <c r="B58" s="97">
        <f t="shared" si="0"/>
        <v>56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"/>
      <c r="AB58" s="1"/>
      <c r="AC58" s="1"/>
      <c r="AD58" s="79" t="s">
        <v>36</v>
      </c>
      <c r="AE58" s="99">
        <f>AA61</f>
        <v>549</v>
      </c>
      <c r="AF58" s="29"/>
      <c r="AG58" s="91"/>
    </row>
    <row r="59" spans="2:33" ht="15" x14ac:dyDescent="0.25">
      <c r="B59" s="97">
        <f>1+B58</f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"/>
      <c r="AC59" s="5"/>
      <c r="AD59" s="79" t="s">
        <v>4</v>
      </c>
      <c r="AE59" s="80">
        <f>SUM(C60:Z60)</f>
        <v>97</v>
      </c>
      <c r="AF59" s="29"/>
      <c r="AG59" s="91"/>
    </row>
    <row r="60" spans="2:33" ht="15" x14ac:dyDescent="0.25">
      <c r="B60" s="92" t="s">
        <v>0</v>
      </c>
      <c r="C60" s="82">
        <f t="shared" ref="C60:Z60" si="1">SUM(C3:C59)</f>
        <v>1</v>
      </c>
      <c r="D60" s="82">
        <f t="shared" si="1"/>
        <v>7</v>
      </c>
      <c r="E60" s="82">
        <f t="shared" si="1"/>
        <v>0</v>
      </c>
      <c r="F60" s="82">
        <f t="shared" si="1"/>
        <v>0</v>
      </c>
      <c r="G60" s="82">
        <f t="shared" si="1"/>
        <v>7</v>
      </c>
      <c r="H60" s="82">
        <f t="shared" si="1"/>
        <v>3</v>
      </c>
      <c r="I60" s="82">
        <f t="shared" si="1"/>
        <v>1</v>
      </c>
      <c r="J60" s="82">
        <f t="shared" si="1"/>
        <v>3</v>
      </c>
      <c r="K60" s="82">
        <f t="shared" si="1"/>
        <v>4</v>
      </c>
      <c r="L60" s="82">
        <f t="shared" si="1"/>
        <v>5</v>
      </c>
      <c r="M60" s="82">
        <f t="shared" si="1"/>
        <v>22</v>
      </c>
      <c r="N60" s="82">
        <f t="shared" si="1"/>
        <v>7</v>
      </c>
      <c r="O60" s="82">
        <f t="shared" si="1"/>
        <v>2</v>
      </c>
      <c r="P60" s="82">
        <f t="shared" si="1"/>
        <v>5</v>
      </c>
      <c r="Q60" s="82">
        <f t="shared" si="1"/>
        <v>5</v>
      </c>
      <c r="R60" s="82">
        <f t="shared" si="1"/>
        <v>8</v>
      </c>
      <c r="S60" s="82">
        <f t="shared" si="1"/>
        <v>1</v>
      </c>
      <c r="T60" s="82">
        <f t="shared" si="1"/>
        <v>3</v>
      </c>
      <c r="U60" s="82">
        <f t="shared" si="1"/>
        <v>3</v>
      </c>
      <c r="V60" s="82">
        <f t="shared" si="1"/>
        <v>1</v>
      </c>
      <c r="W60" s="82">
        <f t="shared" si="1"/>
        <v>1</v>
      </c>
      <c r="X60" s="82">
        <f t="shared" si="1"/>
        <v>3</v>
      </c>
      <c r="Y60" s="82">
        <f t="shared" si="1"/>
        <v>0</v>
      </c>
      <c r="Z60" s="82">
        <f t="shared" si="1"/>
        <v>5</v>
      </c>
      <c r="AA60" s="87">
        <f>SUM(C60:Z60)</f>
        <v>97</v>
      </c>
      <c r="AB60" s="7"/>
      <c r="AC60" s="8"/>
      <c r="AD60" s="79" t="s">
        <v>5</v>
      </c>
      <c r="AE60" s="81">
        <f>AVERAGE(C60:Z60)</f>
        <v>4.041666666666667</v>
      </c>
      <c r="AF60" s="29"/>
      <c r="AG60" s="91"/>
    </row>
    <row r="61" spans="2:33" ht="15" x14ac:dyDescent="0.25">
      <c r="B61" s="92" t="s">
        <v>31</v>
      </c>
      <c r="C61" s="82">
        <f>COUNT(C3:C59)</f>
        <v>25</v>
      </c>
      <c r="D61" s="82">
        <f t="shared" ref="D61:Z61" si="2">COUNT(D3:D59)</f>
        <v>22</v>
      </c>
      <c r="E61" s="82">
        <f t="shared" si="2"/>
        <v>20</v>
      </c>
      <c r="F61" s="82">
        <f t="shared" si="2"/>
        <v>19</v>
      </c>
      <c r="G61" s="82">
        <f t="shared" si="2"/>
        <v>18</v>
      </c>
      <c r="H61" s="82">
        <f t="shared" si="2"/>
        <v>24</v>
      </c>
      <c r="I61" s="82">
        <f t="shared" si="2"/>
        <v>12</v>
      </c>
      <c r="J61" s="82">
        <f t="shared" si="2"/>
        <v>11</v>
      </c>
      <c r="K61" s="82">
        <f t="shared" si="2"/>
        <v>18</v>
      </c>
      <c r="L61" s="82">
        <f t="shared" si="2"/>
        <v>18</v>
      </c>
      <c r="M61" s="82">
        <f t="shared" si="2"/>
        <v>29</v>
      </c>
      <c r="N61" s="82">
        <f t="shared" si="2"/>
        <v>31</v>
      </c>
      <c r="O61" s="82">
        <f t="shared" si="2"/>
        <v>8</v>
      </c>
      <c r="P61" s="82">
        <f t="shared" si="2"/>
        <v>7</v>
      </c>
      <c r="Q61" s="82">
        <f t="shared" si="2"/>
        <v>31</v>
      </c>
      <c r="R61" s="82">
        <f t="shared" si="2"/>
        <v>48</v>
      </c>
      <c r="S61" s="82">
        <f t="shared" si="2"/>
        <v>15</v>
      </c>
      <c r="T61" s="82">
        <f t="shared" si="2"/>
        <v>20</v>
      </c>
      <c r="U61" s="82">
        <f t="shared" si="2"/>
        <v>16</v>
      </c>
      <c r="V61" s="82">
        <f t="shared" si="2"/>
        <v>46</v>
      </c>
      <c r="W61" s="82">
        <f t="shared" si="2"/>
        <v>21</v>
      </c>
      <c r="X61" s="82">
        <f t="shared" si="2"/>
        <v>29</v>
      </c>
      <c r="Y61" s="82">
        <f t="shared" si="2"/>
        <v>24</v>
      </c>
      <c r="Z61" s="82">
        <f t="shared" si="2"/>
        <v>37</v>
      </c>
      <c r="AA61" s="87">
        <f>SUM(C61:Z61)</f>
        <v>549</v>
      </c>
      <c r="AB61" s="7"/>
      <c r="AC61" s="8"/>
      <c r="AD61" s="79" t="s">
        <v>35</v>
      </c>
      <c r="AE61" s="81">
        <f>AVERAGE(C64:Z64)</f>
        <v>4.348183456535875E-2</v>
      </c>
      <c r="AF61" s="29"/>
      <c r="AG61" s="91"/>
    </row>
    <row r="62" spans="2:33" ht="17.25" x14ac:dyDescent="0.25">
      <c r="B62" s="92" t="s">
        <v>32</v>
      </c>
      <c r="C62" s="82">
        <f>C61*4.52</f>
        <v>112.99999999999999</v>
      </c>
      <c r="D62" s="82">
        <f t="shared" ref="D62:Z62" si="3">D61*4.52</f>
        <v>99.44</v>
      </c>
      <c r="E62" s="82">
        <f t="shared" si="3"/>
        <v>90.399999999999991</v>
      </c>
      <c r="F62" s="82">
        <f t="shared" si="3"/>
        <v>85.88</v>
      </c>
      <c r="G62" s="82">
        <f t="shared" si="3"/>
        <v>81.359999999999985</v>
      </c>
      <c r="H62" s="82">
        <f t="shared" si="3"/>
        <v>108.47999999999999</v>
      </c>
      <c r="I62" s="82">
        <f t="shared" si="3"/>
        <v>54.239999999999995</v>
      </c>
      <c r="J62" s="82">
        <f t="shared" si="3"/>
        <v>49.72</v>
      </c>
      <c r="K62" s="82">
        <f t="shared" si="3"/>
        <v>81.359999999999985</v>
      </c>
      <c r="L62" s="82">
        <f t="shared" si="3"/>
        <v>81.359999999999985</v>
      </c>
      <c r="M62" s="82">
        <f t="shared" si="3"/>
        <v>131.07999999999998</v>
      </c>
      <c r="N62" s="82">
        <f t="shared" si="3"/>
        <v>140.11999999999998</v>
      </c>
      <c r="O62" s="82">
        <f t="shared" si="3"/>
        <v>36.159999999999997</v>
      </c>
      <c r="P62" s="82">
        <f t="shared" si="3"/>
        <v>31.639999999999997</v>
      </c>
      <c r="Q62" s="82">
        <f t="shared" si="3"/>
        <v>140.11999999999998</v>
      </c>
      <c r="R62" s="82">
        <f t="shared" si="3"/>
        <v>216.95999999999998</v>
      </c>
      <c r="S62" s="82">
        <f t="shared" si="3"/>
        <v>67.8</v>
      </c>
      <c r="T62" s="82">
        <f t="shared" si="3"/>
        <v>90.399999999999991</v>
      </c>
      <c r="U62" s="82">
        <f t="shared" si="3"/>
        <v>72.319999999999993</v>
      </c>
      <c r="V62" s="82">
        <f t="shared" si="3"/>
        <v>207.92</v>
      </c>
      <c r="W62" s="82">
        <f t="shared" si="3"/>
        <v>94.919999999999987</v>
      </c>
      <c r="X62" s="82">
        <f t="shared" si="3"/>
        <v>131.07999999999998</v>
      </c>
      <c r="Y62" s="82">
        <f t="shared" si="3"/>
        <v>108.47999999999999</v>
      </c>
      <c r="Z62" s="82">
        <f t="shared" si="3"/>
        <v>167.23999999999998</v>
      </c>
      <c r="AA62" s="82">
        <f>AA61*4.52</f>
        <v>2481.4799999999996</v>
      </c>
      <c r="AB62" s="7"/>
      <c r="AC62" s="8"/>
      <c r="AD62" s="79" t="s">
        <v>6</v>
      </c>
      <c r="AE62" s="100">
        <f>VAR(C64:Z64)</f>
        <v>1.9095794657656999E-3</v>
      </c>
      <c r="AF62" s="29"/>
      <c r="AG62" s="91"/>
    </row>
    <row r="63" spans="2:33" ht="15" x14ac:dyDescent="0.25">
      <c r="B63" s="92" t="s">
        <v>37</v>
      </c>
      <c r="C63" s="82">
        <f>C62/1000000</f>
        <v>1.1299999999999998E-4</v>
      </c>
      <c r="D63" s="82">
        <f t="shared" ref="D63:AA63" si="4">D62/1000000</f>
        <v>9.9439999999999997E-5</v>
      </c>
      <c r="E63" s="82">
        <f t="shared" si="4"/>
        <v>9.0399999999999988E-5</v>
      </c>
      <c r="F63" s="82">
        <f t="shared" si="4"/>
        <v>8.5879999999999998E-5</v>
      </c>
      <c r="G63" s="82">
        <f t="shared" si="4"/>
        <v>8.135999999999998E-5</v>
      </c>
      <c r="H63" s="82">
        <f t="shared" si="4"/>
        <v>1.0847999999999999E-4</v>
      </c>
      <c r="I63" s="82">
        <f t="shared" si="4"/>
        <v>5.4239999999999996E-5</v>
      </c>
      <c r="J63" s="82">
        <f t="shared" si="4"/>
        <v>4.9719999999999998E-5</v>
      </c>
      <c r="K63" s="82">
        <f t="shared" si="4"/>
        <v>8.135999999999998E-5</v>
      </c>
      <c r="L63" s="82">
        <f t="shared" si="4"/>
        <v>8.135999999999998E-5</v>
      </c>
      <c r="M63" s="82">
        <f t="shared" si="4"/>
        <v>1.3107999999999997E-4</v>
      </c>
      <c r="N63" s="82">
        <f t="shared" si="4"/>
        <v>1.4011999999999998E-4</v>
      </c>
      <c r="O63" s="82">
        <f t="shared" si="4"/>
        <v>3.6159999999999999E-5</v>
      </c>
      <c r="P63" s="82">
        <f t="shared" si="4"/>
        <v>3.1639999999999995E-5</v>
      </c>
      <c r="Q63" s="82">
        <f t="shared" si="4"/>
        <v>1.4011999999999998E-4</v>
      </c>
      <c r="R63" s="82">
        <f t="shared" si="4"/>
        <v>2.1695999999999998E-4</v>
      </c>
      <c r="S63" s="82">
        <f t="shared" si="4"/>
        <v>6.7799999999999995E-5</v>
      </c>
      <c r="T63" s="82">
        <f t="shared" si="4"/>
        <v>9.0399999999999988E-5</v>
      </c>
      <c r="U63" s="82">
        <f t="shared" si="4"/>
        <v>7.2319999999999999E-5</v>
      </c>
      <c r="V63" s="82">
        <f t="shared" si="4"/>
        <v>2.0791999999999997E-4</v>
      </c>
      <c r="W63" s="82">
        <f t="shared" si="4"/>
        <v>9.4919999999999992E-5</v>
      </c>
      <c r="X63" s="82">
        <f t="shared" si="4"/>
        <v>1.3107999999999997E-4</v>
      </c>
      <c r="Y63" s="82">
        <f t="shared" si="4"/>
        <v>1.0847999999999999E-4</v>
      </c>
      <c r="Z63" s="82">
        <f t="shared" si="4"/>
        <v>1.6723999999999998E-4</v>
      </c>
      <c r="AA63" s="82">
        <f t="shared" si="4"/>
        <v>2.4814799999999995E-3</v>
      </c>
      <c r="AB63" s="7"/>
      <c r="AC63" s="8"/>
      <c r="AD63" s="79"/>
      <c r="AE63" s="100"/>
      <c r="AF63" s="29"/>
      <c r="AG63" s="91"/>
    </row>
    <row r="64" spans="2:33" ht="15" x14ac:dyDescent="0.25">
      <c r="B64" s="92" t="s">
        <v>33</v>
      </c>
      <c r="C64" s="83">
        <f>C60/C62</f>
        <v>8.8495575221238954E-3</v>
      </c>
      <c r="D64" s="83">
        <f t="shared" ref="D64:AA64" si="5">D60/D62</f>
        <v>7.0394207562349154E-2</v>
      </c>
      <c r="E64" s="83">
        <f t="shared" si="5"/>
        <v>0</v>
      </c>
      <c r="F64" s="83">
        <f t="shared" si="5"/>
        <v>0</v>
      </c>
      <c r="G64" s="83">
        <f t="shared" si="5"/>
        <v>8.603736479842676E-2</v>
      </c>
      <c r="H64" s="83">
        <f t="shared" si="5"/>
        <v>2.7654867256637169E-2</v>
      </c>
      <c r="I64" s="83">
        <f t="shared" si="5"/>
        <v>1.8436578171091449E-2</v>
      </c>
      <c r="J64" s="83">
        <f t="shared" si="5"/>
        <v>6.033789219629928E-2</v>
      </c>
      <c r="K64" s="83">
        <f t="shared" si="5"/>
        <v>4.9164208456243863E-2</v>
      </c>
      <c r="L64" s="83">
        <f t="shared" si="5"/>
        <v>6.1455260570304829E-2</v>
      </c>
      <c r="M64" s="83">
        <f t="shared" si="5"/>
        <v>0.1678364357644187</v>
      </c>
      <c r="N64" s="83">
        <f t="shared" si="5"/>
        <v>4.9957179560376826E-2</v>
      </c>
      <c r="O64" s="83">
        <f t="shared" si="5"/>
        <v>5.5309734513274339E-2</v>
      </c>
      <c r="P64" s="83">
        <f t="shared" si="5"/>
        <v>0.15802781289506954</v>
      </c>
      <c r="Q64" s="83">
        <f t="shared" si="5"/>
        <v>3.568369968598345E-2</v>
      </c>
      <c r="R64" s="83">
        <f t="shared" si="5"/>
        <v>3.6873156342182897E-2</v>
      </c>
      <c r="S64" s="83">
        <f t="shared" si="5"/>
        <v>1.4749262536873156E-2</v>
      </c>
      <c r="T64" s="83">
        <f t="shared" si="5"/>
        <v>3.3185840707964605E-2</v>
      </c>
      <c r="U64" s="83">
        <f t="shared" si="5"/>
        <v>4.1482300884955754E-2</v>
      </c>
      <c r="V64" s="83">
        <f t="shared" si="5"/>
        <v>4.809542131589073E-3</v>
      </c>
      <c r="W64" s="83">
        <f t="shared" si="5"/>
        <v>1.0535187526337969E-2</v>
      </c>
      <c r="X64" s="83">
        <f t="shared" si="5"/>
        <v>2.2886786695148004E-2</v>
      </c>
      <c r="Y64" s="83">
        <f t="shared" si="5"/>
        <v>0</v>
      </c>
      <c r="Z64" s="83">
        <f t="shared" si="5"/>
        <v>2.9897153790959103E-2</v>
      </c>
      <c r="AA64" s="83">
        <f t="shared" si="5"/>
        <v>3.9089575575866023E-2</v>
      </c>
      <c r="AB64" s="10"/>
      <c r="AC64" s="11"/>
      <c r="AD64" s="79" t="s">
        <v>7</v>
      </c>
      <c r="AE64" s="101">
        <f>SQRT(((AE61+AE61^2/(AE61^2/(AE62-AE61))))/AE58)</f>
        <v>1.8650165744272462E-3</v>
      </c>
      <c r="AF64" s="29"/>
      <c r="AG64" s="91"/>
    </row>
    <row r="65" spans="1:34" ht="15" x14ac:dyDescent="0.25">
      <c r="A65" s="12"/>
      <c r="B65" s="92" t="s">
        <v>34</v>
      </c>
      <c r="C65" s="83">
        <f t="shared" ref="C65:Z65" si="6">DAYS360($A68,C2)</f>
        <v>137</v>
      </c>
      <c r="D65" s="83">
        <f t="shared" si="6"/>
        <v>137</v>
      </c>
      <c r="E65" s="83">
        <f t="shared" si="6"/>
        <v>137</v>
      </c>
      <c r="F65" s="83">
        <f t="shared" si="6"/>
        <v>138</v>
      </c>
      <c r="G65" s="83">
        <f t="shared" si="6"/>
        <v>138</v>
      </c>
      <c r="H65" s="83">
        <f t="shared" si="6"/>
        <v>138</v>
      </c>
      <c r="I65" s="83">
        <f t="shared" si="6"/>
        <v>138</v>
      </c>
      <c r="J65" s="83">
        <f t="shared" si="6"/>
        <v>138</v>
      </c>
      <c r="K65" s="83">
        <f t="shared" si="6"/>
        <v>138</v>
      </c>
      <c r="L65" s="83">
        <f t="shared" si="6"/>
        <v>138</v>
      </c>
      <c r="M65" s="83">
        <f t="shared" si="6"/>
        <v>138</v>
      </c>
      <c r="N65" s="83">
        <f t="shared" si="6"/>
        <v>139</v>
      </c>
      <c r="O65" s="83">
        <f t="shared" si="6"/>
        <v>139</v>
      </c>
      <c r="P65" s="83">
        <f t="shared" si="6"/>
        <v>139</v>
      </c>
      <c r="Q65" s="83">
        <f t="shared" si="6"/>
        <v>139</v>
      </c>
      <c r="R65" s="83">
        <f t="shared" si="6"/>
        <v>139</v>
      </c>
      <c r="S65" s="83">
        <f t="shared" si="6"/>
        <v>139</v>
      </c>
      <c r="T65" s="83">
        <f t="shared" si="6"/>
        <v>129</v>
      </c>
      <c r="U65" s="83">
        <f t="shared" si="6"/>
        <v>139</v>
      </c>
      <c r="V65" s="83">
        <f t="shared" si="6"/>
        <v>139</v>
      </c>
      <c r="W65" s="83">
        <f t="shared" si="6"/>
        <v>139</v>
      </c>
      <c r="X65" s="83">
        <f t="shared" si="6"/>
        <v>140</v>
      </c>
      <c r="Y65" s="83">
        <f t="shared" si="6"/>
        <v>140</v>
      </c>
      <c r="Z65" s="83">
        <f t="shared" si="6"/>
        <v>140</v>
      </c>
      <c r="AA65" s="13"/>
      <c r="AB65" s="9"/>
      <c r="AC65" s="9"/>
      <c r="AG65" s="91"/>
    </row>
    <row r="66" spans="1:34" ht="15.75" thickBot="1" x14ac:dyDescent="0.3">
      <c r="B66" s="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6"/>
      <c r="AE66" s="42"/>
      <c r="AF66" s="27"/>
      <c r="AG66" s="32"/>
    </row>
    <row r="67" spans="1:34" ht="29.25" thickTop="1" thickBot="1" x14ac:dyDescent="0.4">
      <c r="A67" s="14" t="s">
        <v>12</v>
      </c>
      <c r="C67" s="93" t="s">
        <v>50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C67" s="17"/>
      <c r="AD67" s="43" t="s">
        <v>14</v>
      </c>
      <c r="AE67" s="44"/>
      <c r="AF67" s="45"/>
      <c r="AG67" s="46"/>
    </row>
    <row r="68" spans="1:34" ht="19.5" thickTop="1" x14ac:dyDescent="0.3">
      <c r="A68" s="86">
        <v>42319</v>
      </c>
      <c r="B68" s="102" t="s">
        <v>51</v>
      </c>
      <c r="C68" s="176" t="str">
        <f>Z1 &amp; "," &amp; G1 &amp; "," &amp; J1 &amp; "," &amp;  "," &amp; Q1</f>
        <v>5E,2B,3A,,4A</v>
      </c>
      <c r="D68" s="176"/>
      <c r="E68" s="174" t="str">
        <f>H1 &amp; "," &amp; K1 &amp; "," &amp; P1 &amp; "," &amp; R1 &amp; ","</f>
        <v>2C,3B,3G,4B,</v>
      </c>
      <c r="F68" s="174"/>
      <c r="G68" s="174" t="str">
        <f>E1 &amp; "," &amp; I1 &amp; "," &amp; L1 &amp; "," &amp; S1</f>
        <v>1C,2D,3C,4C</v>
      </c>
      <c r="H68" s="174"/>
      <c r="I68" s="174" t="str">
        <f>F1 &amp; "," &amp; M1 &amp; "," &amp; T1 &amp; "," &amp;  X1</f>
        <v>2A,3D,4D,5C</v>
      </c>
      <c r="J68" s="174"/>
      <c r="K68" s="174" t="str">
        <f>D1 &amp; "," &amp; U1 &amp; "," &amp; Y1 &amp; "," &amp; V1 &amp; ","</f>
        <v>1B,4E,5D,5A,</v>
      </c>
      <c r="L68" s="174"/>
      <c r="M68" s="174" t="str">
        <f>C1 &amp; "," &amp; W1 &amp; ","  &amp; N1 &amp; "," &amp; O1</f>
        <v>1A,5B,3E,3F</v>
      </c>
      <c r="N68" s="174"/>
      <c r="O68" s="102"/>
      <c r="P68" s="102"/>
      <c r="AC68" s="21"/>
      <c r="AD68" s="52" t="s">
        <v>8</v>
      </c>
      <c r="AE68" s="53" t="str">
        <f>+A1</f>
        <v>Sudbury</v>
      </c>
      <c r="AF68" s="54"/>
      <c r="AG68" s="55"/>
    </row>
    <row r="69" spans="1:34" ht="18.75" x14ac:dyDescent="0.3">
      <c r="A69" s="86"/>
      <c r="B69" s="104" t="s">
        <v>39</v>
      </c>
      <c r="C69" s="176">
        <f>G63+ J63 + Q63+ Z63</f>
        <v>4.3843999999999996E-4</v>
      </c>
      <c r="D69" s="176"/>
      <c r="E69" s="174">
        <f>H63+ K63 + P63+ R63</f>
        <v>4.3843999999999996E-4</v>
      </c>
      <c r="F69" s="174"/>
      <c r="G69" s="174">
        <f>E63 + I63 + L63 + S63</f>
        <v>2.9379999999999999E-4</v>
      </c>
      <c r="H69" s="174"/>
      <c r="I69" s="174">
        <f>F63+ M63 + T63 + X63</f>
        <v>4.384399999999999E-4</v>
      </c>
      <c r="J69" s="174"/>
      <c r="K69" s="174">
        <f>D63 + U63 + Y63 + V63</f>
        <v>4.8815999999999996E-4</v>
      </c>
      <c r="L69" s="174"/>
      <c r="M69" s="174">
        <f>C63 +W63+ N63 + O63</f>
        <v>3.8419999999999996E-4</v>
      </c>
      <c r="N69" s="174"/>
      <c r="O69" s="102"/>
      <c r="P69" s="102"/>
      <c r="AC69" s="21"/>
      <c r="AD69" s="52" t="s">
        <v>9</v>
      </c>
      <c r="AE69" s="52">
        <f>A2</f>
        <v>2016</v>
      </c>
      <c r="AF69" s="61"/>
      <c r="AG69" s="55"/>
    </row>
    <row r="70" spans="1:34" ht="18.75" x14ac:dyDescent="0.3">
      <c r="A70" s="98" t="s">
        <v>11</v>
      </c>
      <c r="B70" s="104" t="s">
        <v>38</v>
      </c>
      <c r="C70" s="174">
        <f>G60 + J60 + Q60 + Z60</f>
        <v>20</v>
      </c>
      <c r="D70" s="174"/>
      <c r="E70" s="174">
        <f>H60 + K60 + P60 + R60</f>
        <v>20</v>
      </c>
      <c r="F70" s="174"/>
      <c r="G70" s="174">
        <f>E60 + I60 + L60 + S60</f>
        <v>7</v>
      </c>
      <c r="H70" s="174"/>
      <c r="I70" s="174">
        <f>F60 + M60 + T60 + X60</f>
        <v>28</v>
      </c>
      <c r="J70" s="174"/>
      <c r="K70" s="174">
        <f>D60 + U60 + Y60 + V60</f>
        <v>11</v>
      </c>
      <c r="L70" s="174"/>
      <c r="M70" s="174">
        <f>C60 +W60 + N60 + O60</f>
        <v>11</v>
      </c>
      <c r="N70" s="174"/>
      <c r="P70" s="2">
        <f>SUM(C70:N70)</f>
        <v>97</v>
      </c>
      <c r="AC70" s="21"/>
      <c r="AD70" s="62" t="s">
        <v>10</v>
      </c>
      <c r="AE70" s="109">
        <f>AE57</f>
        <v>24</v>
      </c>
      <c r="AF70" s="61"/>
      <c r="AG70" s="55"/>
    </row>
    <row r="71" spans="1:34" ht="18.75" x14ac:dyDescent="0.3">
      <c r="A71" s="98"/>
      <c r="B71" s="104" t="s">
        <v>40</v>
      </c>
      <c r="C71" s="174">
        <f>AVERAGE(G65,J65,Q65,Z65)</f>
        <v>138.75</v>
      </c>
      <c r="D71" s="174"/>
      <c r="E71" s="175">
        <f xml:space="preserve"> AVERAGE(H65, K65, P65, R65)</f>
        <v>138.5</v>
      </c>
      <c r="F71" s="175"/>
      <c r="G71" s="175">
        <f xml:space="preserve"> AVERAGE(E65, I65, L65, S65)</f>
        <v>138</v>
      </c>
      <c r="H71" s="175"/>
      <c r="I71" s="175">
        <f>AVERAGE(F65, M65, T65, X65)</f>
        <v>136.25</v>
      </c>
      <c r="J71" s="175"/>
      <c r="K71" s="175">
        <f>AVERAGE(D65, U65, Y65, V65)</f>
        <v>138.75</v>
      </c>
      <c r="L71" s="175"/>
      <c r="M71" s="175">
        <f>AVERAGE(C65,W65, N65, O65)</f>
        <v>138.5</v>
      </c>
      <c r="N71" s="175"/>
      <c r="AC71" s="21"/>
      <c r="AD71" s="52" t="s">
        <v>30</v>
      </c>
      <c r="AE71" s="105">
        <f>AA61</f>
        <v>549</v>
      </c>
      <c r="AF71" s="61"/>
      <c r="AG71" s="55"/>
    </row>
    <row r="72" spans="1:34" ht="18.75" x14ac:dyDescent="0.3">
      <c r="A72" s="98"/>
      <c r="B72" s="94" t="s">
        <v>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AA72" s="16" t="s">
        <v>16</v>
      </c>
      <c r="AB72" s="16" t="s">
        <v>15</v>
      </c>
      <c r="AC72" s="21"/>
      <c r="AD72" s="52" t="s">
        <v>42</v>
      </c>
      <c r="AE72" s="105">
        <f>AA60</f>
        <v>97</v>
      </c>
      <c r="AF72" s="61"/>
      <c r="AG72" s="55"/>
    </row>
    <row r="73" spans="1:34" ht="18.75" x14ac:dyDescent="0.3">
      <c r="A73" s="22"/>
      <c r="B73" s="19">
        <v>10.9</v>
      </c>
      <c r="C73" s="171">
        <f>C70/(B73*C69*C71)</f>
        <v>30.162013976187502</v>
      </c>
      <c r="D73" s="172"/>
      <c r="E73" s="171">
        <f>E70/(B73*E69*E71)</f>
        <v>30.216458044736573</v>
      </c>
      <c r="F73" s="172"/>
      <c r="G73" s="171">
        <f>G70/(B73*G69*G71)</f>
        <v>15.839470675663847</v>
      </c>
      <c r="H73" s="172"/>
      <c r="I73" s="171">
        <f>I70/(B73*I69*I71)</f>
        <v>43.001623595408603</v>
      </c>
      <c r="J73" s="172"/>
      <c r="K73" s="171">
        <f>K70/(B73*K69*K71)</f>
        <v>14.899476348422253</v>
      </c>
      <c r="L73" s="172"/>
      <c r="M73" s="171">
        <f>M70/(B73*M69*M71)</f>
        <v>18.965271019843485</v>
      </c>
      <c r="N73" s="172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20">
        <f>AVERAGE(C73:Z73)</f>
        <v>25.514052276710373</v>
      </c>
      <c r="AB73" s="20">
        <f>STDEV(C73:Z73)</f>
        <v>10.942436710683074</v>
      </c>
      <c r="AC73" s="21"/>
      <c r="AD73" s="52"/>
      <c r="AE73" s="105"/>
      <c r="AF73" s="61"/>
      <c r="AG73" s="55"/>
    </row>
    <row r="74" spans="1:34" ht="18.75" x14ac:dyDescent="0.3">
      <c r="A74" s="26"/>
      <c r="B74" s="24">
        <v>19.8</v>
      </c>
      <c r="C74" s="171">
        <f>C70/(B74*C71*C69)</f>
        <v>16.604341027295138</v>
      </c>
      <c r="D74" s="172"/>
      <c r="E74" s="171">
        <f>E70/(B74*E69*E71)</f>
        <v>16.634312762001446</v>
      </c>
      <c r="F74" s="172"/>
      <c r="G74" s="171">
        <f>G70/(B74*G69*G71)</f>
        <v>8.7197086042795942</v>
      </c>
      <c r="H74" s="172"/>
      <c r="I74" s="171">
        <f>I70/(B74*I69*I71)</f>
        <v>23.672610969189584</v>
      </c>
      <c r="J74" s="172"/>
      <c r="K74" s="171">
        <f>K70/(B74*K69*K71)</f>
        <v>8.2022369796869974</v>
      </c>
      <c r="L74" s="172"/>
      <c r="M74" s="171">
        <f>M70/(B74*M69*M71)</f>
        <v>10.440477480620908</v>
      </c>
      <c r="N74" s="172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0">
        <f>AVERAGE(C74:Z74)</f>
        <v>14.045614637178945</v>
      </c>
      <c r="AB74" s="20">
        <f>STDEV(C74:Z74)</f>
        <v>6.0238666740628952</v>
      </c>
      <c r="AC74" s="21"/>
      <c r="AD74" s="106" t="s">
        <v>43</v>
      </c>
      <c r="AE74" s="63"/>
      <c r="AF74" s="61"/>
      <c r="AG74" s="55"/>
    </row>
    <row r="75" spans="1:34" ht="18.75" x14ac:dyDescent="0.3">
      <c r="B75" s="19">
        <v>28.7</v>
      </c>
      <c r="C75" s="171">
        <f>C70/(B75*C69*C71)</f>
        <v>11.455259663430096</v>
      </c>
      <c r="D75" s="172"/>
      <c r="E75" s="171">
        <f>E70/(B75*E69*E71)</f>
        <v>11.475937027443507</v>
      </c>
      <c r="F75" s="172"/>
      <c r="G75" s="171">
        <f>G70/(B75*G69*G71)</f>
        <v>6.0156874691545621</v>
      </c>
      <c r="H75" s="172"/>
      <c r="I75" s="171">
        <f>I70/(B75*I69*I71)</f>
        <v>16.331627079789332</v>
      </c>
      <c r="J75" s="172"/>
      <c r="K75" s="171">
        <f>K70/(B75*K69*K71)</f>
        <v>5.6586861392962557</v>
      </c>
      <c r="L75" s="172"/>
      <c r="M75" s="171">
        <f>M70/(B75*M69*M71)</f>
        <v>7.2028381225189548</v>
      </c>
      <c r="N75" s="17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0">
        <f>AVERAGE(C75:Z75)</f>
        <v>9.6900059169387855</v>
      </c>
      <c r="AB75" s="20">
        <f>STDEV(C75:Z75)</f>
        <v>4.1558383326287549</v>
      </c>
      <c r="AC75" s="21"/>
      <c r="AD75" s="62" t="s">
        <v>44</v>
      </c>
      <c r="AE75" s="107">
        <f>AVERAGE(C73:N75)</f>
        <v>16.416557610276033</v>
      </c>
      <c r="AF75" s="61" t="s">
        <v>48</v>
      </c>
      <c r="AG75" s="110">
        <f>AE75/0.386</f>
        <v>42.529941995533761</v>
      </c>
      <c r="AH75" s="110" t="s">
        <v>49</v>
      </c>
    </row>
    <row r="76" spans="1:34" ht="18.75" x14ac:dyDescent="0.3">
      <c r="B76" s="1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0"/>
      <c r="AB76" s="20"/>
      <c r="AC76" s="21"/>
      <c r="AD76" s="71" t="s">
        <v>94</v>
      </c>
      <c r="AE76" s="72">
        <f>_xlfn.VAR.S(C73:N75)</f>
        <v>98.133416495846504</v>
      </c>
      <c r="AF76" s="61" t="s">
        <v>48</v>
      </c>
      <c r="AG76" s="110">
        <f>AE76/0.386</f>
        <v>254.2316489529702</v>
      </c>
      <c r="AH76" s="110" t="s">
        <v>49</v>
      </c>
    </row>
    <row r="77" spans="1:34" ht="18.75" x14ac:dyDescent="0.3">
      <c r="B77" s="77" t="s">
        <v>41</v>
      </c>
      <c r="C77" s="173">
        <f>AVERAGE(C73:C75)</f>
        <v>19.407204888970913</v>
      </c>
      <c r="D77" s="173"/>
      <c r="E77" s="173">
        <f>AVERAGE(E73:E75)</f>
        <v>19.442235944727177</v>
      </c>
      <c r="F77" s="173"/>
      <c r="G77" s="173">
        <f>AVERAGE(G73:G75)</f>
        <v>10.191622249699336</v>
      </c>
      <c r="H77" s="173"/>
      <c r="I77" s="173">
        <f>AVERAGE(I73:I75)</f>
        <v>27.668620548129169</v>
      </c>
      <c r="J77" s="173"/>
      <c r="K77" s="173">
        <f>AVERAGE(K73:K75)</f>
        <v>9.5867998224685014</v>
      </c>
      <c r="L77" s="173"/>
      <c r="M77" s="173">
        <f>AVERAGE(M73:M75)</f>
        <v>12.202862207661115</v>
      </c>
      <c r="N77" s="173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20"/>
      <c r="AB77" s="20"/>
      <c r="AC77" s="21"/>
      <c r="AD77" s="71" t="s">
        <v>46</v>
      </c>
      <c r="AE77" s="72">
        <f>MAX(C73:R75)</f>
        <v>43.001623595408603</v>
      </c>
      <c r="AF77" s="61" t="s">
        <v>48</v>
      </c>
      <c r="AG77" s="110">
        <f>AE77/0.386</f>
        <v>111.40316993629172</v>
      </c>
      <c r="AH77" s="110" t="s">
        <v>49</v>
      </c>
    </row>
    <row r="78" spans="1:34" ht="18.75" x14ac:dyDescent="0.3">
      <c r="S78" s="33"/>
      <c r="AC78" s="21"/>
      <c r="AD78" s="71" t="s">
        <v>47</v>
      </c>
      <c r="AE78" s="72">
        <f>MIN(C73:T75)</f>
        <v>5.6586861392962557</v>
      </c>
      <c r="AF78" s="108" t="s">
        <v>48</v>
      </c>
      <c r="AG78" s="110">
        <f>AE78/0.386</f>
        <v>14.659808651026569</v>
      </c>
      <c r="AH78" s="110" t="s">
        <v>49</v>
      </c>
    </row>
    <row r="79" spans="1:34" ht="18.75" x14ac:dyDescent="0.3">
      <c r="AC79" s="21"/>
      <c r="AD79" s="68" t="s">
        <v>53</v>
      </c>
      <c r="AE79" s="72">
        <f>COUNT(C73:N75)</f>
        <v>18</v>
      </c>
      <c r="AF79" s="61"/>
      <c r="AG79" s="55"/>
    </row>
    <row r="80" spans="1:34" ht="18.75" x14ac:dyDescent="0.3">
      <c r="AC80" s="21"/>
      <c r="AD80" s="66"/>
      <c r="AE80" s="72"/>
      <c r="AF80" s="61"/>
      <c r="AG80" s="61"/>
    </row>
    <row r="81" spans="1:35" ht="18.75" x14ac:dyDescent="0.3">
      <c r="A81" s="18"/>
      <c r="AC81" s="21"/>
      <c r="AD81" s="68" t="s">
        <v>54</v>
      </c>
      <c r="AE81" s="69"/>
      <c r="AF81" s="110">
        <f>AE75-AE84</f>
        <v>12.353794922817979</v>
      </c>
      <c r="AG81" s="110">
        <f>AE75+AE84</f>
        <v>20.479320297734088</v>
      </c>
      <c r="AH81" s="111" t="s">
        <v>48</v>
      </c>
      <c r="AI81"/>
    </row>
    <row r="82" spans="1:35" ht="18.75" x14ac:dyDescent="0.3">
      <c r="AA82" s="9"/>
      <c r="AB82" s="9"/>
      <c r="AC82" s="21"/>
      <c r="AD82" s="71"/>
      <c r="AE82" s="74"/>
      <c r="AF82" s="110">
        <f>AF81/0.386</f>
        <v>32.004650059113935</v>
      </c>
      <c r="AG82" s="110">
        <f>AG81/0.386</f>
        <v>53.055233931953595</v>
      </c>
      <c r="AH82" s="111" t="s">
        <v>49</v>
      </c>
    </row>
    <row r="83" spans="1:35" ht="23.25" x14ac:dyDescent="0.35">
      <c r="AA83" s="38"/>
      <c r="AB83" s="39"/>
      <c r="AC83" s="21"/>
      <c r="AE83" s="18"/>
    </row>
    <row r="84" spans="1:35" ht="23.25" x14ac:dyDescent="0.35">
      <c r="AA84" s="39"/>
      <c r="AB84" s="41"/>
      <c r="AC84" s="21"/>
      <c r="AD84" s="2" t="s">
        <v>52</v>
      </c>
      <c r="AE84" s="18">
        <f>1.74*AE85</f>
        <v>4.0627626874580534</v>
      </c>
    </row>
    <row r="85" spans="1:35" s="18" customFormat="1" ht="23.2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9"/>
      <c r="AB85" s="41"/>
      <c r="AC85" s="27"/>
      <c r="AD85" s="2" t="s">
        <v>96</v>
      </c>
      <c r="AE85" s="18">
        <f>SQRT(AE76)/SQRT(AE79)</f>
        <v>2.3349210847460076</v>
      </c>
    </row>
    <row r="86" spans="1:35" ht="15" x14ac:dyDescent="0.25">
      <c r="R86" s="47"/>
      <c r="AA86" s="48"/>
      <c r="AB86" s="49"/>
      <c r="AE86" s="18"/>
      <c r="AF86" s="31"/>
      <c r="AG86" s="31"/>
    </row>
    <row r="87" spans="1:35" ht="17.25" customHeight="1" x14ac:dyDescent="0.25">
      <c r="R87" s="56"/>
      <c r="AA87" s="57"/>
      <c r="AB87" s="49"/>
      <c r="AE87" s="18"/>
      <c r="AF87" s="31"/>
      <c r="AG87" s="31"/>
    </row>
    <row r="88" spans="1:35" ht="15.75" customHeight="1" x14ac:dyDescent="0.25">
      <c r="R88" s="56"/>
      <c r="AA88" s="57"/>
      <c r="AB88" s="49"/>
      <c r="AD88" s="18"/>
      <c r="AE88" s="18"/>
      <c r="AF88" s="31"/>
      <c r="AG88" s="31"/>
      <c r="AI88" s="36"/>
    </row>
    <row r="89" spans="1:35" ht="15" customHeight="1" x14ac:dyDescent="0.25">
      <c r="R89" s="26"/>
      <c r="S89" s="13"/>
      <c r="T89" s="13"/>
      <c r="U89" s="13"/>
      <c r="V89" s="13"/>
      <c r="W89" s="13"/>
      <c r="X89" s="13"/>
      <c r="Y89" s="13"/>
      <c r="Z89" s="13"/>
      <c r="AA89" s="57"/>
      <c r="AB89" s="49"/>
      <c r="AD89" s="30"/>
      <c r="AE89" s="31"/>
      <c r="AF89" s="31"/>
      <c r="AG89" s="31"/>
    </row>
    <row r="90" spans="1:35" ht="15.75" customHeight="1" x14ac:dyDescent="0.3">
      <c r="R90" s="26"/>
      <c r="AA90" s="48"/>
      <c r="AB90" s="49"/>
      <c r="AD90" s="34"/>
      <c r="AE90" s="35"/>
      <c r="AF90" s="31"/>
      <c r="AG90" s="31"/>
    </row>
    <row r="91" spans="1:35" ht="16.5" customHeight="1" x14ac:dyDescent="0.3">
      <c r="R91" s="26"/>
      <c r="AA91" s="48"/>
      <c r="AB91" s="49"/>
      <c r="AC91" s="9"/>
      <c r="AD91" s="34"/>
      <c r="AE91" s="31"/>
    </row>
    <row r="92" spans="1:35" ht="16.5" customHeight="1" x14ac:dyDescent="0.35">
      <c r="R92" s="26"/>
      <c r="AA92" s="48"/>
      <c r="AB92" s="49"/>
      <c r="AC92" s="39"/>
      <c r="AD92" s="34"/>
      <c r="AE92" s="37"/>
    </row>
    <row r="93" spans="1:35" ht="16.5" customHeight="1" x14ac:dyDescent="0.3">
      <c r="R93" s="26"/>
      <c r="AA93" s="48"/>
      <c r="AB93" s="49"/>
      <c r="AC93" s="41"/>
      <c r="AD93" s="34"/>
      <c r="AE93" s="31"/>
    </row>
    <row r="94" spans="1:35" ht="15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70"/>
      <c r="S94" s="70"/>
      <c r="T94" s="60"/>
      <c r="U94" s="60"/>
      <c r="V94" s="60"/>
      <c r="W94" s="60"/>
      <c r="X94" s="60"/>
      <c r="Y94" s="60"/>
      <c r="Z94" s="60"/>
      <c r="AA94" s="48"/>
      <c r="AB94" s="49"/>
      <c r="AC94" s="41"/>
    </row>
    <row r="95" spans="1:35" ht="15" x14ac:dyDescent="0.25">
      <c r="A95" s="64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70"/>
      <c r="S95" s="70"/>
      <c r="T95" s="60"/>
      <c r="U95" s="60"/>
      <c r="V95" s="60"/>
      <c r="W95" s="60"/>
      <c r="X95" s="60"/>
      <c r="Y95" s="60"/>
      <c r="Z95" s="60"/>
      <c r="AA95" s="48"/>
      <c r="AB95" s="49"/>
      <c r="AC95" s="50"/>
      <c r="AD95" s="40"/>
      <c r="AF95" s="51"/>
      <c r="AG95" s="51"/>
      <c r="AH95" s="51"/>
    </row>
    <row r="96" spans="1:35" ht="15" x14ac:dyDescent="0.25">
      <c r="A96" s="64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70"/>
      <c r="S96" s="70"/>
      <c r="T96" s="60"/>
      <c r="U96" s="60"/>
      <c r="V96" s="60"/>
      <c r="W96" s="60"/>
      <c r="X96" s="60"/>
      <c r="Y96" s="60"/>
      <c r="Z96" s="60"/>
      <c r="AA96" s="48"/>
      <c r="AB96" s="49"/>
      <c r="AC96" s="50"/>
      <c r="AD96" s="40"/>
      <c r="AF96" s="51"/>
      <c r="AG96" s="60"/>
      <c r="AH96" s="60"/>
    </row>
    <row r="97" spans="1:34" ht="15" x14ac:dyDescent="0.25">
      <c r="A97" s="64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70"/>
      <c r="S97" s="70"/>
      <c r="T97" s="60"/>
      <c r="U97" s="60"/>
      <c r="V97" s="60"/>
      <c r="W97" s="60"/>
      <c r="X97" s="60"/>
      <c r="Y97" s="60"/>
      <c r="Z97" s="60"/>
      <c r="AA97" s="48"/>
      <c r="AB97" s="49"/>
      <c r="AC97" s="50"/>
      <c r="AD97" s="40"/>
      <c r="AF97" s="51"/>
      <c r="AG97" s="60"/>
      <c r="AH97" s="60"/>
    </row>
    <row r="98" spans="1:34" ht="15" x14ac:dyDescent="0.25">
      <c r="A98" s="64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70"/>
      <c r="S98" s="70"/>
      <c r="T98" s="60"/>
      <c r="U98" s="60"/>
      <c r="V98" s="60"/>
      <c r="W98" s="60"/>
      <c r="X98" s="60"/>
      <c r="Y98" s="60"/>
      <c r="Z98" s="60"/>
      <c r="AA98" s="48"/>
      <c r="AB98" s="49"/>
      <c r="AC98" s="50"/>
      <c r="AD98" s="40"/>
      <c r="AE98" s="51"/>
      <c r="AF98" s="51"/>
      <c r="AG98" s="60"/>
      <c r="AH98" s="60"/>
    </row>
    <row r="99" spans="1:34" ht="15" x14ac:dyDescent="0.25">
      <c r="A99" s="67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70"/>
      <c r="S99" s="70"/>
      <c r="T99" s="60"/>
      <c r="U99" s="60"/>
      <c r="V99" s="60"/>
      <c r="W99" s="60"/>
      <c r="X99" s="60"/>
      <c r="Y99" s="60"/>
      <c r="Z99" s="60"/>
      <c r="AA99" s="48"/>
      <c r="AB99" s="49"/>
      <c r="AC99" s="50"/>
      <c r="AD99" s="58"/>
      <c r="AE99" s="59"/>
      <c r="AF99" s="51"/>
      <c r="AG99" s="60"/>
      <c r="AH99" s="60"/>
    </row>
    <row r="100" spans="1:34" ht="15" x14ac:dyDescent="0.25">
      <c r="A100" s="67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70"/>
      <c r="S100" s="70"/>
      <c r="T100" s="60"/>
      <c r="U100" s="60"/>
      <c r="V100" s="60"/>
      <c r="W100" s="60"/>
      <c r="X100" s="60"/>
      <c r="Y100" s="60"/>
      <c r="Z100" s="60"/>
      <c r="AA100" s="48"/>
      <c r="AB100" s="49"/>
      <c r="AC100" s="50"/>
      <c r="AD100" s="58"/>
      <c r="AE100" s="59"/>
      <c r="AF100" s="51"/>
      <c r="AG100" s="60"/>
      <c r="AH100" s="60"/>
    </row>
    <row r="101" spans="1:34" ht="15" x14ac:dyDescent="0.25">
      <c r="A101" s="73"/>
      <c r="R101" s="70"/>
      <c r="S101" s="70"/>
      <c r="AA101" s="48"/>
      <c r="AB101" s="49"/>
      <c r="AC101" s="50"/>
      <c r="AD101" s="58"/>
      <c r="AE101" s="59"/>
      <c r="AF101" s="51"/>
      <c r="AG101" s="60"/>
      <c r="AH101" s="60"/>
    </row>
    <row r="102" spans="1:34" x14ac:dyDescent="0.2">
      <c r="A102" s="73"/>
      <c r="B102" s="27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AA102" s="48"/>
      <c r="AB102" s="49"/>
      <c r="AC102" s="50"/>
      <c r="AD102" s="65"/>
      <c r="AE102" s="59"/>
      <c r="AF102" s="51"/>
      <c r="AG102" s="60"/>
      <c r="AH102" s="60"/>
    </row>
    <row r="103" spans="1:34" s="60" customFormat="1" x14ac:dyDescent="0.2">
      <c r="A103" s="73"/>
      <c r="B103" s="27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48"/>
      <c r="AB103" s="49"/>
      <c r="AC103" s="50"/>
      <c r="AD103" s="58"/>
      <c r="AE103" s="59"/>
      <c r="AF103" s="51"/>
    </row>
    <row r="104" spans="1:34" s="60" customFormat="1" x14ac:dyDescent="0.2">
      <c r="A104" s="7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48"/>
      <c r="AB104" s="49"/>
      <c r="AC104" s="50"/>
      <c r="AD104" s="58"/>
      <c r="AE104" s="59"/>
      <c r="AF104" s="51"/>
    </row>
    <row r="105" spans="1:34" s="60" customFormat="1" x14ac:dyDescent="0.2">
      <c r="A105" s="7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48"/>
      <c r="AB105" s="49"/>
      <c r="AC105" s="50"/>
      <c r="AD105" s="58"/>
      <c r="AE105" s="59"/>
      <c r="AF105" s="51"/>
    </row>
    <row r="106" spans="1:34" s="60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48"/>
      <c r="AB106" s="49"/>
      <c r="AC106" s="50"/>
      <c r="AD106" s="58"/>
      <c r="AE106" s="59"/>
      <c r="AF106" s="51"/>
    </row>
    <row r="107" spans="1:34" s="60" customFormat="1" x14ac:dyDescent="0.2">
      <c r="A107" s="22"/>
      <c r="B107" s="1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48"/>
      <c r="AB107" s="49"/>
      <c r="AC107" s="50"/>
      <c r="AD107" s="58"/>
      <c r="AE107" s="59"/>
      <c r="AF107" s="51"/>
    </row>
    <row r="108" spans="1:34" s="60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48"/>
      <c r="AB108" s="49"/>
      <c r="AC108" s="50"/>
      <c r="AD108" s="58"/>
      <c r="AE108" s="59"/>
      <c r="AF108" s="51"/>
    </row>
    <row r="109" spans="1:34" s="60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48"/>
      <c r="AB109" s="49"/>
      <c r="AC109" s="50"/>
      <c r="AD109" s="58"/>
      <c r="AE109" s="59"/>
      <c r="AF109" s="51"/>
    </row>
    <row r="110" spans="1:34" x14ac:dyDescent="0.2">
      <c r="AA110" s="48"/>
      <c r="AB110" s="49"/>
      <c r="AC110" s="50"/>
      <c r="AD110" s="58"/>
      <c r="AE110" s="59"/>
      <c r="AF110" s="51"/>
      <c r="AG110" s="51"/>
      <c r="AH110" s="51"/>
    </row>
    <row r="111" spans="1:34" x14ac:dyDescent="0.2">
      <c r="AA111" s="48"/>
      <c r="AB111" s="49"/>
      <c r="AC111" s="50"/>
      <c r="AD111" s="58"/>
      <c r="AE111" s="59"/>
      <c r="AF111" s="51"/>
      <c r="AG111" s="51"/>
      <c r="AH111" s="51"/>
    </row>
    <row r="112" spans="1:34" x14ac:dyDescent="0.2">
      <c r="AA112" s="48"/>
      <c r="AB112" s="49"/>
      <c r="AC112" s="50"/>
      <c r="AD112" s="58"/>
      <c r="AE112" s="59"/>
      <c r="AF112" s="51"/>
      <c r="AG112" s="51"/>
      <c r="AH112" s="51"/>
    </row>
    <row r="113" spans="27:34" x14ac:dyDescent="0.2">
      <c r="AA113" s="48"/>
      <c r="AB113" s="49"/>
      <c r="AC113" s="50"/>
      <c r="AD113" s="58"/>
      <c r="AE113" s="51"/>
      <c r="AF113" s="51"/>
      <c r="AG113" s="51"/>
      <c r="AH113" s="51"/>
    </row>
    <row r="114" spans="27:34" x14ac:dyDescent="0.2">
      <c r="AA114" s="40"/>
      <c r="AB114" s="50"/>
      <c r="AC114" s="50"/>
      <c r="AD114" s="58"/>
      <c r="AE114" s="51"/>
      <c r="AF114" s="51"/>
      <c r="AG114" s="51"/>
      <c r="AH114" s="51"/>
    </row>
    <row r="115" spans="27:34" x14ac:dyDescent="0.2">
      <c r="AA115" s="40"/>
      <c r="AB115" s="40"/>
      <c r="AC115" s="50"/>
      <c r="AD115" s="58"/>
      <c r="AE115" s="51"/>
      <c r="AF115" s="51"/>
      <c r="AG115" s="51"/>
      <c r="AH115" s="51"/>
    </row>
    <row r="116" spans="27:34" x14ac:dyDescent="0.2">
      <c r="AC116" s="50"/>
      <c r="AD116" s="58"/>
      <c r="AE116" s="51"/>
      <c r="AF116" s="51"/>
      <c r="AG116" s="51"/>
      <c r="AH116" s="51"/>
    </row>
    <row r="117" spans="27:34" x14ac:dyDescent="0.2">
      <c r="AC117" s="50"/>
      <c r="AD117" s="76"/>
      <c r="AE117" s="51"/>
      <c r="AF117" s="51"/>
      <c r="AG117" s="51"/>
      <c r="AH117" s="51"/>
    </row>
    <row r="118" spans="27:34" x14ac:dyDescent="0.2">
      <c r="AC118" s="50"/>
      <c r="AD118" s="76"/>
      <c r="AE118" s="51"/>
      <c r="AF118" s="51"/>
      <c r="AG118" s="51"/>
      <c r="AH118" s="51"/>
    </row>
    <row r="119" spans="27:34" x14ac:dyDescent="0.2">
      <c r="AC119" s="50"/>
      <c r="AD119" s="76"/>
      <c r="AE119" s="51"/>
      <c r="AF119" s="51"/>
      <c r="AG119" s="51"/>
      <c r="AH119" s="51"/>
    </row>
    <row r="120" spans="27:34" x14ac:dyDescent="0.2">
      <c r="AC120" s="50"/>
      <c r="AD120" s="76"/>
      <c r="AE120" s="51"/>
      <c r="AF120" s="51"/>
      <c r="AG120" s="51"/>
      <c r="AH120" s="51"/>
    </row>
    <row r="121" spans="27:34" x14ac:dyDescent="0.2">
      <c r="AC121" s="50"/>
      <c r="AD121" s="76"/>
      <c r="AE121" s="51"/>
      <c r="AF121" s="51"/>
      <c r="AG121" s="51"/>
      <c r="AH121" s="51"/>
    </row>
    <row r="122" spans="27:34" x14ac:dyDescent="0.2">
      <c r="AC122" s="50"/>
      <c r="AD122" s="76"/>
      <c r="AE122" s="51"/>
      <c r="AF122" s="51"/>
      <c r="AG122" s="51"/>
      <c r="AH122" s="51"/>
    </row>
    <row r="123" spans="27:34" x14ac:dyDescent="0.2">
      <c r="AC123" s="50"/>
      <c r="AD123" s="76"/>
      <c r="AE123" s="51"/>
      <c r="AF123" s="51"/>
      <c r="AG123" s="51"/>
      <c r="AH123" s="51"/>
    </row>
    <row r="124" spans="27:34" x14ac:dyDescent="0.2">
      <c r="AC124" s="40"/>
      <c r="AD124" s="76"/>
      <c r="AE124" s="51"/>
      <c r="AF124" s="51"/>
      <c r="AG124" s="51"/>
      <c r="AH124" s="51"/>
    </row>
    <row r="125" spans="27:34" x14ac:dyDescent="0.2">
      <c r="AD125" s="76"/>
      <c r="AE125" s="51"/>
    </row>
    <row r="126" spans="27:34" x14ac:dyDescent="0.2">
      <c r="AD126" s="76"/>
      <c r="AE126" s="51"/>
    </row>
    <row r="127" spans="27:34" x14ac:dyDescent="0.2">
      <c r="AD127" s="76"/>
      <c r="AE127" s="51"/>
    </row>
  </sheetData>
  <mergeCells count="48">
    <mergeCell ref="M69:N69"/>
    <mergeCell ref="C68:D68"/>
    <mergeCell ref="E68:F68"/>
    <mergeCell ref="G68:H68"/>
    <mergeCell ref="I68:J68"/>
    <mergeCell ref="K68:L68"/>
    <mergeCell ref="M68:N68"/>
    <mergeCell ref="C69:D69"/>
    <mergeCell ref="E69:F69"/>
    <mergeCell ref="G69:H69"/>
    <mergeCell ref="I69:J69"/>
    <mergeCell ref="K69:L69"/>
    <mergeCell ref="M71:N71"/>
    <mergeCell ref="C70:D70"/>
    <mergeCell ref="E70:F70"/>
    <mergeCell ref="G70:H70"/>
    <mergeCell ref="I70:J70"/>
    <mergeCell ref="K70:L70"/>
    <mergeCell ref="M70:N70"/>
    <mergeCell ref="C71:D71"/>
    <mergeCell ref="E71:F71"/>
    <mergeCell ref="G71:H71"/>
    <mergeCell ref="I71:J71"/>
    <mergeCell ref="K71:L71"/>
    <mergeCell ref="M74:N74"/>
    <mergeCell ref="C73:D73"/>
    <mergeCell ref="E73:F73"/>
    <mergeCell ref="G73:H73"/>
    <mergeCell ref="I73:J73"/>
    <mergeCell ref="K73:L73"/>
    <mergeCell ref="M73:N73"/>
    <mergeCell ref="C74:D74"/>
    <mergeCell ref="E74:F74"/>
    <mergeCell ref="G74:H74"/>
    <mergeCell ref="I74:J74"/>
    <mergeCell ref="K74:L74"/>
    <mergeCell ref="M77:N77"/>
    <mergeCell ref="C75:D75"/>
    <mergeCell ref="E75:F75"/>
    <mergeCell ref="G75:H75"/>
    <mergeCell ref="I75:J75"/>
    <mergeCell ref="K75:L75"/>
    <mergeCell ref="M75:N75"/>
    <mergeCell ref="C77:D77"/>
    <mergeCell ref="E77:F77"/>
    <mergeCell ref="G77:H77"/>
    <mergeCell ref="I77:J77"/>
    <mergeCell ref="K77:L77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20" sqref="E20"/>
    </sheetView>
  </sheetViews>
  <sheetFormatPr defaultRowHeight="12.75" x14ac:dyDescent="0.2"/>
  <sheetData>
    <row r="1" spans="1:6" x14ac:dyDescent="0.2">
      <c r="A1">
        <v>2</v>
      </c>
      <c r="E1" t="s">
        <v>102</v>
      </c>
    </row>
    <row r="2" spans="1:6" x14ac:dyDescent="0.2">
      <c r="A2">
        <v>3</v>
      </c>
      <c r="E2">
        <v>13</v>
      </c>
    </row>
    <row r="3" spans="1:6" x14ac:dyDescent="0.2">
      <c r="A3">
        <v>5</v>
      </c>
      <c r="E3">
        <v>18.600000000000001</v>
      </c>
    </row>
    <row r="4" spans="1:6" x14ac:dyDescent="0.2">
      <c r="A4">
        <v>6</v>
      </c>
      <c r="E4">
        <v>12.7</v>
      </c>
    </row>
    <row r="5" spans="1:6" x14ac:dyDescent="0.2">
      <c r="A5">
        <v>9</v>
      </c>
      <c r="E5">
        <v>13</v>
      </c>
    </row>
    <row r="6" spans="1:6" x14ac:dyDescent="0.2">
      <c r="E6">
        <v>14</v>
      </c>
    </row>
    <row r="7" spans="1:6" x14ac:dyDescent="0.2">
      <c r="A7">
        <f>AVERAGE(A1:A5)</f>
        <v>5</v>
      </c>
      <c r="B7" s="113" t="s">
        <v>88</v>
      </c>
      <c r="E7">
        <v>11.2</v>
      </c>
    </row>
    <row r="8" spans="1:6" x14ac:dyDescent="0.2">
      <c r="A8">
        <f>_xlfn.VAR.S(A1:A5)</f>
        <v>7.5</v>
      </c>
      <c r="B8" s="113" t="s">
        <v>89</v>
      </c>
      <c r="E8">
        <v>10.9</v>
      </c>
    </row>
    <row r="9" spans="1:6" x14ac:dyDescent="0.2">
      <c r="A9">
        <f>SQRT(A8)/SQRT(5)</f>
        <v>1.2247448713915889</v>
      </c>
      <c r="B9" s="113" t="s">
        <v>90</v>
      </c>
      <c r="E9">
        <v>17.600000000000001</v>
      </c>
    </row>
    <row r="10" spans="1:6" x14ac:dyDescent="0.2">
      <c r="A10" s="113">
        <f>2.76*(A9)</f>
        <v>3.3802958450407852</v>
      </c>
      <c r="B10" s="113" t="s">
        <v>91</v>
      </c>
      <c r="E10">
        <v>16.7</v>
      </c>
    </row>
    <row r="11" spans="1:6" x14ac:dyDescent="0.2">
      <c r="A11">
        <f>A7-A10</f>
        <v>1.6197041549592148</v>
      </c>
      <c r="B11" s="113" t="s">
        <v>92</v>
      </c>
    </row>
    <row r="12" spans="1:6" x14ac:dyDescent="0.2">
      <c r="A12">
        <f>A7+A10</f>
        <v>8.3802958450407843</v>
      </c>
      <c r="B12" s="113" t="s">
        <v>93</v>
      </c>
      <c r="E12" s="116">
        <f>AVERAGE(E2:E10)</f>
        <v>14.18888888888889</v>
      </c>
      <c r="F12" s="113" t="s">
        <v>103</v>
      </c>
    </row>
    <row r="13" spans="1:6" x14ac:dyDescent="0.2">
      <c r="E13" s="116">
        <f>_xlfn.STDEV.S(E2:E10)</f>
        <v>2.7890161546880834</v>
      </c>
      <c r="F13" s="113" t="s">
        <v>104</v>
      </c>
    </row>
    <row r="15" spans="1:6" x14ac:dyDescent="0.2">
      <c r="E15" s="113" t="s">
        <v>105</v>
      </c>
    </row>
    <row r="17" spans="5:5" x14ac:dyDescent="0.2">
      <c r="E17" s="116">
        <f>E12-E13</f>
        <v>11.399872734200807</v>
      </c>
    </row>
    <row r="18" spans="5:5" x14ac:dyDescent="0.2">
      <c r="E18" s="116">
        <f>E12</f>
        <v>14.18888888888889</v>
      </c>
    </row>
    <row r="19" spans="5:5" x14ac:dyDescent="0.2">
      <c r="E19" s="116">
        <f>E12+E13</f>
        <v>16.977905043576975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workbookViewId="0">
      <pane xSplit="2" ySplit="2" topLeftCell="J48" activePane="bottomRight" state="frozen"/>
      <selection pane="topRight" activeCell="C1" sqref="C1"/>
      <selection pane="bottomLeft" activeCell="A3" sqref="A3"/>
      <selection pane="bottomRight" activeCell="A77" sqref="A77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17" width="11.42578125" style="2" customWidth="1"/>
    <col min="18" max="18" width="10.7109375" style="2" customWidth="1"/>
    <col min="19" max="19" width="9.42578125" style="2" customWidth="1"/>
    <col min="20" max="20" width="2.5703125" style="2" customWidth="1"/>
    <col min="21" max="21" width="35.140625" style="2" customWidth="1"/>
    <col min="22" max="22" width="11.42578125" style="2"/>
    <col min="23" max="23" width="12.28515625" style="2" bestFit="1" customWidth="1"/>
    <col min="24" max="16384" width="11.42578125" style="2"/>
  </cols>
  <sheetData>
    <row r="1" spans="1:20" ht="15.75" x14ac:dyDescent="0.25">
      <c r="A1" s="95" t="s">
        <v>113</v>
      </c>
      <c r="B1" s="84"/>
      <c r="C1" s="85" t="s">
        <v>74</v>
      </c>
      <c r="D1" s="85" t="s">
        <v>75</v>
      </c>
      <c r="E1" s="85" t="s">
        <v>76</v>
      </c>
      <c r="F1" s="85" t="s">
        <v>111</v>
      </c>
      <c r="G1" s="85" t="s">
        <v>112</v>
      </c>
      <c r="H1" s="85" t="s">
        <v>19</v>
      </c>
      <c r="I1" s="85" t="s">
        <v>20</v>
      </c>
      <c r="J1" s="85" t="s">
        <v>21</v>
      </c>
      <c r="K1" s="85" t="s">
        <v>71</v>
      </c>
      <c r="L1" s="85" t="s">
        <v>72</v>
      </c>
      <c r="M1" s="85" t="s">
        <v>79</v>
      </c>
      <c r="N1" s="85" t="s">
        <v>80</v>
      </c>
      <c r="O1" s="85" t="s">
        <v>81</v>
      </c>
      <c r="P1" s="85" t="s">
        <v>82</v>
      </c>
      <c r="Q1" s="85" t="s">
        <v>83</v>
      </c>
      <c r="R1" s="1"/>
      <c r="S1" s="1"/>
      <c r="T1" s="1"/>
    </row>
    <row r="2" spans="1:20" ht="15" x14ac:dyDescent="0.25">
      <c r="A2" s="96">
        <v>2015</v>
      </c>
      <c r="B2" s="84" t="s">
        <v>13</v>
      </c>
      <c r="C2" s="86">
        <v>42116</v>
      </c>
      <c r="D2" s="86">
        <v>42109</v>
      </c>
      <c r="E2" s="86">
        <v>42109</v>
      </c>
      <c r="F2" s="86">
        <v>42109</v>
      </c>
      <c r="G2" s="86">
        <v>42109</v>
      </c>
      <c r="H2" s="86">
        <v>42116</v>
      </c>
      <c r="I2" s="86">
        <v>42404</v>
      </c>
      <c r="J2" s="86">
        <v>42109</v>
      </c>
      <c r="K2" s="86">
        <v>42109</v>
      </c>
      <c r="L2" s="86">
        <v>42109</v>
      </c>
      <c r="M2" s="86">
        <v>42109</v>
      </c>
      <c r="N2" s="86">
        <v>42109</v>
      </c>
      <c r="O2" s="86">
        <v>42109</v>
      </c>
      <c r="P2" s="86">
        <v>42109</v>
      </c>
      <c r="Q2" s="86">
        <v>42109</v>
      </c>
      <c r="R2" s="3"/>
      <c r="S2" s="3"/>
      <c r="T2" s="3"/>
    </row>
    <row r="3" spans="1:20" ht="15" x14ac:dyDescent="0.25">
      <c r="B3" s="97">
        <v>1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1"/>
    </row>
    <row r="4" spans="1:20" ht="15" x14ac:dyDescent="0.25">
      <c r="B4" s="97">
        <f>1+B3</f>
        <v>2</v>
      </c>
      <c r="C4" s="4">
        <v>1</v>
      </c>
      <c r="D4" s="4">
        <v>1</v>
      </c>
      <c r="E4" s="4">
        <v>0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1"/>
    </row>
    <row r="5" spans="1:20" ht="15" x14ac:dyDescent="0.25">
      <c r="B5" s="97">
        <f t="shared" ref="B5:B66" si="0">1+B4</f>
        <v>3</v>
      </c>
      <c r="C5" s="4">
        <v>1</v>
      </c>
      <c r="D5" s="4">
        <v>1</v>
      </c>
      <c r="E5" s="4">
        <v>0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1"/>
    </row>
    <row r="6" spans="1:20" ht="15" x14ac:dyDescent="0.25">
      <c r="B6" s="97">
        <f t="shared" si="0"/>
        <v>4</v>
      </c>
      <c r="C6" s="4">
        <v>1</v>
      </c>
      <c r="D6" s="4">
        <v>0</v>
      </c>
      <c r="E6" s="4">
        <v>0</v>
      </c>
      <c r="F6" s="4">
        <v>1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1</v>
      </c>
      <c r="M6" s="4">
        <v>1</v>
      </c>
      <c r="N6" s="4">
        <v>0</v>
      </c>
      <c r="O6" s="4">
        <v>1</v>
      </c>
      <c r="P6" s="4">
        <v>1</v>
      </c>
      <c r="Q6" s="4">
        <v>1</v>
      </c>
      <c r="R6" s="1"/>
    </row>
    <row r="7" spans="1:20" ht="15" x14ac:dyDescent="0.25">
      <c r="B7" s="97">
        <f t="shared" si="0"/>
        <v>5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1</v>
      </c>
      <c r="L7" s="4">
        <v>1</v>
      </c>
      <c r="M7" s="4">
        <v>1</v>
      </c>
      <c r="N7" s="4">
        <v>0</v>
      </c>
      <c r="O7" s="4">
        <v>1</v>
      </c>
      <c r="P7" s="4">
        <v>0</v>
      </c>
      <c r="Q7" s="4">
        <v>1</v>
      </c>
      <c r="R7" s="1"/>
    </row>
    <row r="8" spans="1:20" ht="15" x14ac:dyDescent="0.25">
      <c r="B8" s="97">
        <f t="shared" si="0"/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1</v>
      </c>
      <c r="M8" s="4">
        <v>1</v>
      </c>
      <c r="N8" s="4">
        <v>0</v>
      </c>
      <c r="O8" s="4">
        <v>1</v>
      </c>
      <c r="P8" s="4">
        <v>0</v>
      </c>
      <c r="Q8" s="4">
        <v>1</v>
      </c>
      <c r="R8" s="1"/>
    </row>
    <row r="9" spans="1:20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1"/>
    </row>
    <row r="10" spans="1:20" ht="15" x14ac:dyDescent="0.25">
      <c r="B10" s="97">
        <f t="shared" si="0"/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1"/>
    </row>
    <row r="11" spans="1:20" ht="15" x14ac:dyDescent="0.25">
      <c r="B11" s="97">
        <f t="shared" si="0"/>
        <v>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1"/>
    </row>
    <row r="12" spans="1:20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1"/>
    </row>
    <row r="13" spans="1:20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1"/>
    </row>
    <row r="14" spans="1:20" ht="15" x14ac:dyDescent="0.25">
      <c r="B14" s="97">
        <f t="shared" si="0"/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1"/>
    </row>
    <row r="15" spans="1:20" ht="15" x14ac:dyDescent="0.25">
      <c r="B15" s="97">
        <f t="shared" si="0"/>
        <v>13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1"/>
    </row>
    <row r="16" spans="1:20" ht="15" x14ac:dyDescent="0.25">
      <c r="B16" s="97">
        <f t="shared" si="0"/>
        <v>14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1"/>
    </row>
    <row r="17" spans="2:18" ht="15" x14ac:dyDescent="0.25">
      <c r="B17" s="97">
        <f t="shared" si="0"/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1"/>
    </row>
    <row r="18" spans="2:18" ht="15" x14ac:dyDescent="0.25">
      <c r="B18" s="97">
        <f t="shared" si="0"/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1"/>
    </row>
    <row r="19" spans="2:18" ht="15" x14ac:dyDescent="0.25">
      <c r="B19" s="97">
        <f t="shared" si="0"/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1"/>
    </row>
    <row r="20" spans="2:18" ht="15" x14ac:dyDescent="0.25">
      <c r="B20" s="97">
        <f t="shared" si="0"/>
        <v>18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1"/>
    </row>
    <row r="21" spans="2:18" ht="15" x14ac:dyDescent="0.25">
      <c r="B21" s="97">
        <f t="shared" si="0"/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1"/>
    </row>
    <row r="22" spans="2:18" ht="15" x14ac:dyDescent="0.25">
      <c r="B22" s="97">
        <f t="shared" si="0"/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"/>
    </row>
    <row r="23" spans="2:18" ht="15" x14ac:dyDescent="0.25">
      <c r="B23" s="97">
        <f t="shared" si="0"/>
        <v>21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1"/>
    </row>
    <row r="24" spans="2:18" ht="15" x14ac:dyDescent="0.25">
      <c r="B24" s="97">
        <f t="shared" si="0"/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1"/>
    </row>
    <row r="25" spans="2:18" ht="15" x14ac:dyDescent="0.25">
      <c r="B25" s="97">
        <f t="shared" si="0"/>
        <v>23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/>
      <c r="Q25" s="4">
        <v>0</v>
      </c>
      <c r="R25" s="1"/>
    </row>
    <row r="26" spans="2:18" ht="15" x14ac:dyDescent="0.25">
      <c r="B26" s="97">
        <f t="shared" si="0"/>
        <v>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/>
      <c r="Q26" s="4">
        <v>0</v>
      </c>
      <c r="R26" s="1"/>
    </row>
    <row r="27" spans="2:18" ht="15" x14ac:dyDescent="0.25">
      <c r="B27" s="97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/>
      <c r="Q27" s="4">
        <v>0</v>
      </c>
      <c r="R27" s="1"/>
    </row>
    <row r="28" spans="2:18" ht="15" x14ac:dyDescent="0.25">
      <c r="B28" s="97">
        <v>26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/>
      <c r="Q28" s="4">
        <v>0</v>
      </c>
      <c r="R28" s="1"/>
    </row>
    <row r="29" spans="2:18" ht="15" x14ac:dyDescent="0.25">
      <c r="B29" s="97">
        <v>27</v>
      </c>
      <c r="C29" s="4"/>
      <c r="D29" s="4">
        <v>0</v>
      </c>
      <c r="E29" s="4">
        <v>0</v>
      </c>
      <c r="F29" s="4"/>
      <c r="G29" s="4"/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/>
      <c r="Q29" s="4"/>
      <c r="R29" s="1"/>
    </row>
    <row r="30" spans="2:18" ht="15" x14ac:dyDescent="0.25">
      <c r="B30" s="97">
        <v>28</v>
      </c>
      <c r="C30" s="4"/>
      <c r="D30" s="4">
        <v>0</v>
      </c>
      <c r="E30" s="4"/>
      <c r="F30" s="4"/>
      <c r="G30" s="4"/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/>
      <c r="P30" s="4"/>
      <c r="Q30" s="4"/>
      <c r="R30" s="1"/>
    </row>
    <row r="31" spans="2:18" ht="15" x14ac:dyDescent="0.25">
      <c r="B31" s="97">
        <v>29</v>
      </c>
      <c r="C31" s="4"/>
      <c r="D31" s="4"/>
      <c r="E31" s="4"/>
      <c r="F31" s="4"/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/>
      <c r="P31" s="4"/>
      <c r="Q31" s="4"/>
      <c r="R31" s="1"/>
    </row>
    <row r="32" spans="2:18" ht="15" x14ac:dyDescent="0.25">
      <c r="B32" s="97">
        <v>30</v>
      </c>
      <c r="C32" s="4"/>
      <c r="D32" s="4"/>
      <c r="E32" s="4"/>
      <c r="F32" s="4"/>
      <c r="G32" s="4"/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/>
      <c r="P32" s="4"/>
      <c r="Q32" s="4"/>
      <c r="R32" s="1"/>
    </row>
    <row r="33" spans="2:18" ht="15" x14ac:dyDescent="0.25">
      <c r="B33" s="97">
        <v>31</v>
      </c>
      <c r="C33" s="4"/>
      <c r="D33" s="4"/>
      <c r="E33" s="4"/>
      <c r="F33" s="4"/>
      <c r="G33" s="4"/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/>
      <c r="P33" s="4"/>
      <c r="Q33" s="4"/>
      <c r="R33" s="1"/>
    </row>
    <row r="34" spans="2:18" ht="15" x14ac:dyDescent="0.25">
      <c r="B34" s="97">
        <v>32</v>
      </c>
      <c r="C34" s="4"/>
      <c r="D34" s="4"/>
      <c r="E34" s="4"/>
      <c r="F34" s="4"/>
      <c r="G34" s="4"/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/>
      <c r="P34" s="4"/>
      <c r="Q34" s="4"/>
      <c r="R34" s="1"/>
    </row>
    <row r="35" spans="2:18" ht="15" x14ac:dyDescent="0.25">
      <c r="B35" s="97">
        <v>33</v>
      </c>
      <c r="C35" s="4"/>
      <c r="D35" s="4"/>
      <c r="E35" s="4"/>
      <c r="F35" s="4"/>
      <c r="G35" s="4"/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/>
      <c r="P35" s="4"/>
      <c r="Q35" s="4"/>
      <c r="R35" s="1"/>
    </row>
    <row r="36" spans="2:18" ht="15" x14ac:dyDescent="0.25">
      <c r="B36" s="97">
        <v>34</v>
      </c>
      <c r="C36" s="4"/>
      <c r="D36" s="4"/>
      <c r="E36" s="4"/>
      <c r="F36" s="4"/>
      <c r="G36" s="4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/>
      <c r="P36" s="4"/>
      <c r="Q36" s="4"/>
      <c r="R36" s="1"/>
    </row>
    <row r="37" spans="2:18" ht="15" x14ac:dyDescent="0.25">
      <c r="B37" s="97">
        <v>35</v>
      </c>
      <c r="C37" s="4"/>
      <c r="D37" s="4"/>
      <c r="E37" s="4"/>
      <c r="F37" s="4"/>
      <c r="G37" s="4"/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/>
      <c r="P37" s="4"/>
      <c r="Q37" s="4"/>
      <c r="R37" s="1"/>
    </row>
    <row r="38" spans="2:18" ht="15" x14ac:dyDescent="0.25">
      <c r="B38" s="97">
        <v>36</v>
      </c>
      <c r="C38" s="4"/>
      <c r="D38" s="4"/>
      <c r="E38" s="4"/>
      <c r="F38" s="4"/>
      <c r="G38" s="4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/>
      <c r="P38" s="4"/>
      <c r="Q38" s="4"/>
      <c r="R38" s="1"/>
    </row>
    <row r="39" spans="2:18" ht="15" x14ac:dyDescent="0.25">
      <c r="B39" s="97">
        <v>37</v>
      </c>
      <c r="C39" s="4"/>
      <c r="D39" s="4"/>
      <c r="E39" s="4"/>
      <c r="F39" s="4"/>
      <c r="G39" s="4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/>
      <c r="P39" s="4"/>
      <c r="Q39" s="4"/>
      <c r="R39" s="1"/>
    </row>
    <row r="40" spans="2:18" ht="15" x14ac:dyDescent="0.25">
      <c r="B40" s="97">
        <v>38</v>
      </c>
      <c r="C40" s="4"/>
      <c r="D40" s="4"/>
      <c r="E40" s="4"/>
      <c r="F40" s="4"/>
      <c r="G40" s="4"/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/>
      <c r="P40" s="4"/>
      <c r="Q40" s="4"/>
      <c r="R40" s="1"/>
    </row>
    <row r="41" spans="2:18" ht="15" x14ac:dyDescent="0.25">
      <c r="B41" s="97">
        <f t="shared" si="0"/>
        <v>39</v>
      </c>
      <c r="C41" s="4"/>
      <c r="D41" s="4"/>
      <c r="E41" s="4"/>
      <c r="F41" s="4"/>
      <c r="G41" s="4"/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/>
      <c r="P41" s="4"/>
      <c r="Q41" s="4"/>
      <c r="R41" s="1"/>
    </row>
    <row r="42" spans="2:18" ht="15" x14ac:dyDescent="0.25">
      <c r="B42" s="97">
        <f t="shared" si="0"/>
        <v>40</v>
      </c>
      <c r="C42" s="4"/>
      <c r="D42" s="4"/>
      <c r="E42" s="4"/>
      <c r="F42" s="4"/>
      <c r="G42" s="4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/>
      <c r="P42" s="4"/>
      <c r="Q42" s="4"/>
      <c r="R42" s="1"/>
    </row>
    <row r="43" spans="2:18" ht="15" x14ac:dyDescent="0.25">
      <c r="B43" s="97">
        <f t="shared" si="0"/>
        <v>41</v>
      </c>
      <c r="C43" s="4"/>
      <c r="D43" s="4"/>
      <c r="E43" s="4"/>
      <c r="F43" s="4"/>
      <c r="G43" s="4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/>
      <c r="P43" s="4"/>
      <c r="Q43" s="4"/>
      <c r="R43" s="1"/>
    </row>
    <row r="44" spans="2:18" ht="15" x14ac:dyDescent="0.25">
      <c r="B44" s="97">
        <f t="shared" si="0"/>
        <v>42</v>
      </c>
      <c r="C44" s="4"/>
      <c r="D44" s="4"/>
      <c r="E44" s="4"/>
      <c r="F44" s="4"/>
      <c r="G44" s="4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/>
      <c r="P44" s="4"/>
      <c r="Q44" s="4"/>
      <c r="R44" s="1"/>
    </row>
    <row r="45" spans="2:18" ht="15" x14ac:dyDescent="0.25">
      <c r="B45" s="97">
        <v>43</v>
      </c>
      <c r="C45" s="4"/>
      <c r="D45" s="4"/>
      <c r="E45" s="4"/>
      <c r="F45" s="4"/>
      <c r="G45" s="4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/>
      <c r="P45" s="4"/>
      <c r="Q45" s="4"/>
      <c r="R45" s="1"/>
    </row>
    <row r="46" spans="2:18" ht="15" x14ac:dyDescent="0.25">
      <c r="B46" s="97">
        <v>44</v>
      </c>
      <c r="C46" s="4"/>
      <c r="D46" s="4"/>
      <c r="E46" s="4"/>
      <c r="F46" s="4"/>
      <c r="G46" s="4"/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/>
      <c r="P46" s="4"/>
      <c r="Q46" s="4"/>
      <c r="R46" s="1"/>
    </row>
    <row r="47" spans="2:18" ht="15" x14ac:dyDescent="0.25">
      <c r="B47" s="97">
        <v>45</v>
      </c>
      <c r="C47" s="4"/>
      <c r="D47" s="4"/>
      <c r="E47" s="4"/>
      <c r="F47" s="4"/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/>
      <c r="P47" s="4"/>
      <c r="Q47" s="4"/>
      <c r="R47" s="1"/>
    </row>
    <row r="48" spans="2:18" ht="15" x14ac:dyDescent="0.25">
      <c r="B48" s="97">
        <v>46</v>
      </c>
      <c r="C48" s="4"/>
      <c r="D48" s="4"/>
      <c r="E48" s="4"/>
      <c r="F48" s="4"/>
      <c r="G48" s="4"/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/>
      <c r="P48" s="4"/>
      <c r="Q48" s="4"/>
      <c r="R48" s="1"/>
    </row>
    <row r="49" spans="2:24" ht="15" x14ac:dyDescent="0.25">
      <c r="B49" s="97">
        <v>47</v>
      </c>
      <c r="C49" s="4"/>
      <c r="D49" s="4"/>
      <c r="E49" s="4"/>
      <c r="F49" s="4"/>
      <c r="G49" s="4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/>
      <c r="P49" s="4"/>
      <c r="Q49" s="4"/>
      <c r="R49" s="1"/>
    </row>
    <row r="50" spans="2:24" ht="15" x14ac:dyDescent="0.25">
      <c r="B50" s="97">
        <v>48</v>
      </c>
      <c r="C50" s="4"/>
      <c r="D50" s="4"/>
      <c r="E50" s="4"/>
      <c r="F50" s="4"/>
      <c r="G50" s="4"/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/>
      <c r="P50" s="4"/>
      <c r="Q50" s="4"/>
      <c r="R50" s="1"/>
    </row>
    <row r="51" spans="2:24" ht="15" x14ac:dyDescent="0.25">
      <c r="B51" s="97">
        <v>49</v>
      </c>
      <c r="C51" s="4"/>
      <c r="D51" s="4"/>
      <c r="E51" s="4"/>
      <c r="F51" s="4"/>
      <c r="G51" s="4"/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/>
      <c r="P51" s="4"/>
      <c r="Q51" s="4"/>
      <c r="R51" s="1"/>
    </row>
    <row r="52" spans="2:24" ht="15" x14ac:dyDescent="0.25">
      <c r="B52" s="97">
        <v>50</v>
      </c>
      <c r="C52" s="4"/>
      <c r="D52" s="4"/>
      <c r="E52" s="4"/>
      <c r="F52" s="4"/>
      <c r="G52" s="4"/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/>
      <c r="P52" s="4"/>
      <c r="Q52" s="4"/>
      <c r="R52" s="1"/>
    </row>
    <row r="53" spans="2:24" ht="15" x14ac:dyDescent="0.25">
      <c r="B53" s="97">
        <v>51</v>
      </c>
      <c r="C53" s="4"/>
      <c r="D53" s="4"/>
      <c r="E53" s="4"/>
      <c r="F53" s="4"/>
      <c r="G53" s="4"/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/>
      <c r="P53" s="4"/>
      <c r="Q53" s="4"/>
      <c r="R53" s="1"/>
    </row>
    <row r="54" spans="2:24" ht="15" x14ac:dyDescent="0.25">
      <c r="B54" s="97">
        <v>52</v>
      </c>
      <c r="C54" s="4"/>
      <c r="D54" s="4"/>
      <c r="E54" s="4"/>
      <c r="F54" s="4"/>
      <c r="G54" s="4"/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/>
      <c r="P54" s="4"/>
      <c r="Q54" s="4"/>
      <c r="R54" s="1"/>
    </row>
    <row r="55" spans="2:24" ht="15" x14ac:dyDescent="0.25">
      <c r="B55" s="97">
        <v>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"/>
    </row>
    <row r="56" spans="2:24" ht="15" x14ac:dyDescent="0.25">
      <c r="B56" s="97">
        <v>54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"/>
    </row>
    <row r="57" spans="2:24" ht="15" x14ac:dyDescent="0.25">
      <c r="B57" s="97">
        <v>55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"/>
    </row>
    <row r="58" spans="2:24" ht="15" x14ac:dyDescent="0.25">
      <c r="B58" s="97">
        <v>56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"/>
    </row>
    <row r="59" spans="2:24" ht="15" x14ac:dyDescent="0.25">
      <c r="B59" s="97"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"/>
    </row>
    <row r="60" spans="2:24" ht="15" x14ac:dyDescent="0.25">
      <c r="B60" s="97">
        <f t="shared" si="0"/>
        <v>58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"/>
    </row>
    <row r="61" spans="2:24" ht="15" x14ac:dyDescent="0.25">
      <c r="B61" s="97">
        <f t="shared" si="0"/>
        <v>59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"/>
    </row>
    <row r="62" spans="2:24" ht="15" x14ac:dyDescent="0.25">
      <c r="B62" s="97">
        <f t="shared" si="0"/>
        <v>60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"/>
    </row>
    <row r="63" spans="2:24" ht="15" x14ac:dyDescent="0.25">
      <c r="B63" s="97">
        <f t="shared" si="0"/>
        <v>61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"/>
    </row>
    <row r="64" spans="2:24" ht="15.75" x14ac:dyDescent="0.25">
      <c r="B64" s="97">
        <f t="shared" si="0"/>
        <v>62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"/>
      <c r="U64" s="28" t="s">
        <v>2</v>
      </c>
      <c r="V64" s="29"/>
      <c r="W64" s="29"/>
      <c r="X64" s="90"/>
    </row>
    <row r="65" spans="1:24" ht="15" x14ac:dyDescent="0.25">
      <c r="B65" s="97">
        <f t="shared" si="0"/>
        <v>63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"/>
      <c r="U65" s="79" t="s">
        <v>3</v>
      </c>
      <c r="V65" s="80">
        <f>COUNT(C68:Q68)</f>
        <v>15</v>
      </c>
      <c r="W65" s="29"/>
      <c r="X65" s="91"/>
    </row>
    <row r="66" spans="1:24" ht="15" x14ac:dyDescent="0.25">
      <c r="B66" s="97">
        <f t="shared" si="0"/>
        <v>64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"/>
      <c r="S66" s="1"/>
      <c r="T66" s="1"/>
      <c r="U66" s="79" t="s">
        <v>36</v>
      </c>
      <c r="V66" s="99">
        <f>R69</f>
        <v>572</v>
      </c>
      <c r="W66" s="29"/>
      <c r="X66" s="91"/>
    </row>
    <row r="67" spans="1:24" ht="15" x14ac:dyDescent="0.25">
      <c r="B67" s="97">
        <f>1+B66</f>
        <v>65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"/>
      <c r="T67" s="5"/>
      <c r="U67" s="79" t="s">
        <v>4</v>
      </c>
      <c r="V67" s="80">
        <f>SUM(C68:Q68)</f>
        <v>95</v>
      </c>
      <c r="W67" s="29"/>
      <c r="X67" s="91"/>
    </row>
    <row r="68" spans="1:24" ht="15" x14ac:dyDescent="0.25">
      <c r="B68" s="92" t="s">
        <v>0</v>
      </c>
      <c r="C68" s="82">
        <f t="shared" ref="C68:Q68" si="1">SUM(C3:C67)</f>
        <v>4</v>
      </c>
      <c r="D68" s="82">
        <f t="shared" si="1"/>
        <v>3</v>
      </c>
      <c r="E68" s="82">
        <f t="shared" si="1"/>
        <v>1</v>
      </c>
      <c r="F68" s="82">
        <f t="shared" si="1"/>
        <v>5</v>
      </c>
      <c r="G68" s="82">
        <f t="shared" si="1"/>
        <v>3</v>
      </c>
      <c r="H68" s="82">
        <f t="shared" si="1"/>
        <v>5</v>
      </c>
      <c r="I68" s="82">
        <f t="shared" si="1"/>
        <v>2</v>
      </c>
      <c r="J68" s="82">
        <f t="shared" ref="J68:O68" si="2">SUM(J3:J67)</f>
        <v>2</v>
      </c>
      <c r="K68" s="82">
        <f t="shared" si="2"/>
        <v>20</v>
      </c>
      <c r="L68" s="82">
        <f t="shared" si="2"/>
        <v>22</v>
      </c>
      <c r="M68" s="82">
        <f t="shared" si="2"/>
        <v>6</v>
      </c>
      <c r="N68" s="82">
        <f t="shared" si="2"/>
        <v>3</v>
      </c>
      <c r="O68" s="82">
        <f t="shared" si="2"/>
        <v>8</v>
      </c>
      <c r="P68" s="82">
        <f t="shared" si="1"/>
        <v>4</v>
      </c>
      <c r="Q68" s="82">
        <f t="shared" si="1"/>
        <v>7</v>
      </c>
      <c r="R68" s="87">
        <f>SUM(C68:Q68)</f>
        <v>95</v>
      </c>
      <c r="S68" s="7"/>
      <c r="T68" s="8"/>
      <c r="U68" s="79" t="s">
        <v>5</v>
      </c>
      <c r="V68" s="81">
        <f>AVERAGE(C68:Q68)</f>
        <v>6.333333333333333</v>
      </c>
      <c r="W68" s="29"/>
      <c r="X68" s="91"/>
    </row>
    <row r="69" spans="1:24" ht="15" x14ac:dyDescent="0.25">
      <c r="B69" s="92" t="s">
        <v>31</v>
      </c>
      <c r="C69" s="82">
        <f>COUNT(C3:C67)</f>
        <v>26</v>
      </c>
      <c r="D69" s="82">
        <f t="shared" ref="D69:Q69" si="3">COUNT(D3:D67)</f>
        <v>28</v>
      </c>
      <c r="E69" s="82">
        <f t="shared" si="3"/>
        <v>27</v>
      </c>
      <c r="F69" s="82">
        <f t="shared" si="3"/>
        <v>26</v>
      </c>
      <c r="G69" s="82">
        <f t="shared" si="3"/>
        <v>26</v>
      </c>
      <c r="H69" s="82">
        <f t="shared" si="3"/>
        <v>52</v>
      </c>
      <c r="I69" s="82">
        <f t="shared" si="3"/>
        <v>52</v>
      </c>
      <c r="J69" s="82">
        <f t="shared" ref="J69:O69" si="4">COUNT(J3:J67)</f>
        <v>52</v>
      </c>
      <c r="K69" s="82">
        <f t="shared" si="4"/>
        <v>52</v>
      </c>
      <c r="L69" s="82">
        <f t="shared" si="4"/>
        <v>52</v>
      </c>
      <c r="M69" s="82">
        <f t="shared" si="4"/>
        <v>52</v>
      </c>
      <c r="N69" s="82">
        <f t="shared" si="4"/>
        <v>52</v>
      </c>
      <c r="O69" s="82">
        <f t="shared" si="4"/>
        <v>27</v>
      </c>
      <c r="P69" s="82">
        <f t="shared" si="3"/>
        <v>22</v>
      </c>
      <c r="Q69" s="82">
        <f t="shared" si="3"/>
        <v>26</v>
      </c>
      <c r="R69" s="87">
        <f>SUM(C69:Q69)</f>
        <v>572</v>
      </c>
      <c r="S69" s="7"/>
      <c r="T69" s="8"/>
      <c r="U69" s="79" t="s">
        <v>35</v>
      </c>
      <c r="V69" s="81">
        <f>AVERAGE(C72:Q72)</f>
        <v>3.6975070160910874E-2</v>
      </c>
      <c r="W69" s="29"/>
      <c r="X69" s="91"/>
    </row>
    <row r="70" spans="1:24" ht="17.25" x14ac:dyDescent="0.25">
      <c r="B70" s="92" t="s">
        <v>32</v>
      </c>
      <c r="C70" s="82">
        <f>C69*4.52</f>
        <v>117.51999999999998</v>
      </c>
      <c r="D70" s="82">
        <f t="shared" ref="D70:Q70" si="5">D69*4.52</f>
        <v>126.55999999999999</v>
      </c>
      <c r="E70" s="82">
        <f t="shared" si="5"/>
        <v>122.03999999999999</v>
      </c>
      <c r="F70" s="82">
        <f t="shared" si="5"/>
        <v>117.51999999999998</v>
      </c>
      <c r="G70" s="82">
        <f t="shared" si="5"/>
        <v>117.51999999999998</v>
      </c>
      <c r="H70" s="82">
        <f t="shared" si="5"/>
        <v>235.03999999999996</v>
      </c>
      <c r="I70" s="82">
        <f t="shared" si="5"/>
        <v>235.03999999999996</v>
      </c>
      <c r="J70" s="82">
        <f t="shared" ref="J70:O70" si="6">J69*4.52</f>
        <v>235.03999999999996</v>
      </c>
      <c r="K70" s="82">
        <f t="shared" si="6"/>
        <v>235.03999999999996</v>
      </c>
      <c r="L70" s="82">
        <f t="shared" si="6"/>
        <v>235.03999999999996</v>
      </c>
      <c r="M70" s="82">
        <f t="shared" si="6"/>
        <v>235.03999999999996</v>
      </c>
      <c r="N70" s="82">
        <f t="shared" si="6"/>
        <v>235.03999999999996</v>
      </c>
      <c r="O70" s="82">
        <f t="shared" si="6"/>
        <v>122.03999999999999</v>
      </c>
      <c r="P70" s="82">
        <f t="shared" si="5"/>
        <v>99.44</v>
      </c>
      <c r="Q70" s="82">
        <f t="shared" si="5"/>
        <v>117.51999999999998</v>
      </c>
      <c r="R70" s="82">
        <f>R69*4.52</f>
        <v>2585.4399999999996</v>
      </c>
      <c r="S70" s="7"/>
      <c r="T70" s="8"/>
      <c r="U70" s="79" t="s">
        <v>6</v>
      </c>
      <c r="V70" s="100">
        <f>VAR(C72:Q72)</f>
        <v>7.5848634998549019E-4</v>
      </c>
      <c r="W70" s="29"/>
      <c r="X70" s="91"/>
    </row>
    <row r="71" spans="1:24" ht="15" x14ac:dyDescent="0.25">
      <c r="B71" s="92" t="s">
        <v>37</v>
      </c>
      <c r="C71" s="82">
        <f>C70/1000000</f>
        <v>1.1751999999999999E-4</v>
      </c>
      <c r="D71" s="82">
        <f t="shared" ref="D71:R71" si="7">D70/1000000</f>
        <v>1.2655999999999998E-4</v>
      </c>
      <c r="E71" s="82">
        <f t="shared" si="7"/>
        <v>1.2203999999999999E-4</v>
      </c>
      <c r="F71" s="82">
        <f t="shared" si="7"/>
        <v>1.1751999999999999E-4</v>
      </c>
      <c r="G71" s="82">
        <f t="shared" si="7"/>
        <v>1.1751999999999999E-4</v>
      </c>
      <c r="H71" s="82">
        <f t="shared" si="7"/>
        <v>2.3503999999999997E-4</v>
      </c>
      <c r="I71" s="82">
        <f t="shared" si="7"/>
        <v>2.3503999999999997E-4</v>
      </c>
      <c r="J71" s="82">
        <f t="shared" ref="J71:O71" si="8">J70/1000000</f>
        <v>2.3503999999999997E-4</v>
      </c>
      <c r="K71" s="82">
        <f t="shared" si="8"/>
        <v>2.3503999999999997E-4</v>
      </c>
      <c r="L71" s="82">
        <f t="shared" si="8"/>
        <v>2.3503999999999997E-4</v>
      </c>
      <c r="M71" s="82">
        <f t="shared" si="8"/>
        <v>2.3503999999999997E-4</v>
      </c>
      <c r="N71" s="82">
        <f t="shared" si="8"/>
        <v>2.3503999999999997E-4</v>
      </c>
      <c r="O71" s="82">
        <f t="shared" si="8"/>
        <v>1.2203999999999999E-4</v>
      </c>
      <c r="P71" s="82">
        <f t="shared" si="7"/>
        <v>9.9439999999999997E-5</v>
      </c>
      <c r="Q71" s="82">
        <f t="shared" si="7"/>
        <v>1.1751999999999999E-4</v>
      </c>
      <c r="R71" s="82">
        <f t="shared" si="7"/>
        <v>2.5854399999999996E-3</v>
      </c>
      <c r="S71" s="7"/>
      <c r="T71" s="8"/>
      <c r="U71" s="79"/>
      <c r="V71" s="100"/>
      <c r="W71" s="29"/>
      <c r="X71" s="91"/>
    </row>
    <row r="72" spans="1:24" ht="15" x14ac:dyDescent="0.25">
      <c r="B72" s="92" t="s">
        <v>33</v>
      </c>
      <c r="C72" s="83">
        <f>C68/C70</f>
        <v>3.4036759700476517E-2</v>
      </c>
      <c r="D72" s="83">
        <f t="shared" ref="D72:R72" si="9">D68/D70</f>
        <v>2.3704171934260432E-2</v>
      </c>
      <c r="E72" s="83">
        <f t="shared" si="9"/>
        <v>8.1940347427073099E-3</v>
      </c>
      <c r="F72" s="83">
        <f t="shared" si="9"/>
        <v>4.2545949625595651E-2</v>
      </c>
      <c r="G72" s="83">
        <f t="shared" si="9"/>
        <v>2.5527569775357389E-2</v>
      </c>
      <c r="H72" s="83">
        <f t="shared" si="9"/>
        <v>2.1272974812797826E-2</v>
      </c>
      <c r="I72" s="83">
        <f t="shared" si="9"/>
        <v>8.5091899251191292E-3</v>
      </c>
      <c r="J72" s="83">
        <f t="shared" ref="J72:O72" si="10">J68/J70</f>
        <v>8.5091899251191292E-3</v>
      </c>
      <c r="K72" s="83">
        <f t="shared" si="10"/>
        <v>8.5091899251191302E-2</v>
      </c>
      <c r="L72" s="83">
        <f t="shared" si="10"/>
        <v>9.3601089176310423E-2</v>
      </c>
      <c r="M72" s="83">
        <f t="shared" si="10"/>
        <v>2.5527569775357389E-2</v>
      </c>
      <c r="N72" s="83">
        <f t="shared" si="10"/>
        <v>1.2763784887678695E-2</v>
      </c>
      <c r="O72" s="83">
        <f t="shared" si="10"/>
        <v>6.5552277941658479E-2</v>
      </c>
      <c r="P72" s="83">
        <f t="shared" si="9"/>
        <v>4.0225261464199517E-2</v>
      </c>
      <c r="Q72" s="83">
        <f t="shared" si="9"/>
        <v>5.9564329475833913E-2</v>
      </c>
      <c r="R72" s="83">
        <f t="shared" si="9"/>
        <v>3.6744229222105337E-2</v>
      </c>
      <c r="S72" s="10"/>
      <c r="T72" s="11"/>
      <c r="U72" s="79" t="s">
        <v>7</v>
      </c>
      <c r="V72" s="101">
        <f>SQRT(((V69+V69^2/(V69^2/(V70-V69))))/V66)</f>
        <v>1.1515316267420605E-3</v>
      </c>
      <c r="W72" s="29"/>
      <c r="X72" s="91"/>
    </row>
    <row r="73" spans="1:24" ht="15" x14ac:dyDescent="0.25">
      <c r="A73" s="12"/>
      <c r="B73" s="92" t="s">
        <v>34</v>
      </c>
      <c r="C73" s="83">
        <f t="shared" ref="C73:Q73" si="11">DAYS360($A76,C2)</f>
        <v>160</v>
      </c>
      <c r="D73" s="83">
        <f t="shared" si="11"/>
        <v>153</v>
      </c>
      <c r="E73" s="83">
        <f t="shared" si="11"/>
        <v>153</v>
      </c>
      <c r="F73" s="83">
        <f t="shared" si="11"/>
        <v>153</v>
      </c>
      <c r="G73" s="83">
        <f t="shared" si="11"/>
        <v>153</v>
      </c>
      <c r="H73" s="83">
        <f t="shared" si="11"/>
        <v>160</v>
      </c>
      <c r="I73" s="83">
        <f t="shared" si="11"/>
        <v>442</v>
      </c>
      <c r="J73" s="83">
        <f t="shared" ref="J73:O73" si="12">DAYS360($A76,J2)</f>
        <v>153</v>
      </c>
      <c r="K73" s="83">
        <f t="shared" si="12"/>
        <v>153</v>
      </c>
      <c r="L73" s="83">
        <f t="shared" si="12"/>
        <v>153</v>
      </c>
      <c r="M73" s="83">
        <f t="shared" si="12"/>
        <v>153</v>
      </c>
      <c r="N73" s="83">
        <f t="shared" si="12"/>
        <v>153</v>
      </c>
      <c r="O73" s="83">
        <f t="shared" si="12"/>
        <v>153</v>
      </c>
      <c r="P73" s="83">
        <f t="shared" si="11"/>
        <v>153</v>
      </c>
      <c r="Q73" s="83">
        <f t="shared" si="11"/>
        <v>153</v>
      </c>
      <c r="R73" s="13"/>
      <c r="S73" s="9"/>
      <c r="T73" s="9"/>
      <c r="X73" s="91"/>
    </row>
    <row r="74" spans="1:24" ht="15.75" thickBot="1" x14ac:dyDescent="0.3">
      <c r="B74" s="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6"/>
      <c r="V74" s="42"/>
      <c r="W74" s="27"/>
      <c r="X74" s="32"/>
    </row>
    <row r="75" spans="1:24" ht="29.25" thickTop="1" thickBot="1" x14ac:dyDescent="0.4">
      <c r="A75" s="14" t="s">
        <v>12</v>
      </c>
      <c r="C75" s="93" t="s">
        <v>50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T75" s="17"/>
      <c r="U75" s="43" t="s">
        <v>14</v>
      </c>
      <c r="V75" s="44"/>
      <c r="W75" s="45"/>
      <c r="X75" s="46"/>
    </row>
    <row r="76" spans="1:24" ht="19.5" thickTop="1" x14ac:dyDescent="0.3">
      <c r="A76" s="86">
        <v>41955</v>
      </c>
      <c r="B76" s="102" t="s">
        <v>51</v>
      </c>
      <c r="C76" s="176" t="e">
        <f>#REF! &amp; "," &amp; G1 &amp; "," &amp; P1 &amp; "," &amp;  "," &amp;#REF!</f>
        <v>#REF!</v>
      </c>
      <c r="D76" s="176"/>
      <c r="E76" s="174" t="e">
        <f>#REF! &amp; "," &amp; H1 &amp; "," &amp; Q1 &amp; "," &amp;#REF! &amp; "," &amp;#REF! &amp; ","</f>
        <v>#REF!</v>
      </c>
      <c r="F76" s="174"/>
      <c r="G76" s="174" t="e">
        <f>E1 &amp; "," &amp; I1 &amp; "," &amp;#REF! &amp; "," &amp;#REF! &amp; "," &amp;#REF!</f>
        <v>#REF!</v>
      </c>
      <c r="H76" s="174"/>
      <c r="I76" s="174" t="e">
        <f>F1 &amp; "," &amp;#REF! &amp; "," &amp;#REF! &amp; "," &amp;#REF! &amp; "," &amp;#REF!</f>
        <v>#REF!</v>
      </c>
      <c r="J76" s="174"/>
      <c r="K76" s="174"/>
      <c r="L76" s="174"/>
      <c r="M76" s="174"/>
      <c r="N76" s="174"/>
      <c r="O76" s="174"/>
      <c r="P76" s="174"/>
      <c r="Q76" s="117" t="e">
        <f>D1 &amp; "," &amp;#REF! &amp; "," &amp;#REF! &amp; "," &amp;#REF! &amp; ","</f>
        <v>#REF!</v>
      </c>
      <c r="T76" s="21"/>
      <c r="U76" s="52" t="s">
        <v>8</v>
      </c>
      <c r="V76" s="53" t="str">
        <f>+A1</f>
        <v>Quabbin Park</v>
      </c>
      <c r="W76" s="54"/>
      <c r="X76" s="55"/>
    </row>
    <row r="77" spans="1:24" ht="18.75" x14ac:dyDescent="0.3">
      <c r="A77" s="86"/>
      <c r="B77" s="104" t="s">
        <v>39</v>
      </c>
      <c r="C77" s="176" t="e">
        <f>G71+ P71 +#REF! +#REF! +#REF!</f>
        <v>#REF!</v>
      </c>
      <c r="D77" s="176"/>
      <c r="E77" s="174" t="e">
        <f>H71+ Q71 +#REF! +#REF! +#REF! +#REF!</f>
        <v>#REF!</v>
      </c>
      <c r="F77" s="174"/>
      <c r="G77" s="174" t="e">
        <f>E71 + I71 +#REF! +#REF! +#REF!</f>
        <v>#REF!</v>
      </c>
      <c r="H77" s="174"/>
      <c r="I77" s="174" t="e">
        <f>F71 +#REF! +#REF! +#REF! +#REF!</f>
        <v>#REF!</v>
      </c>
      <c r="J77" s="174"/>
      <c r="K77" s="174"/>
      <c r="L77" s="174"/>
      <c r="M77" s="174"/>
      <c r="N77" s="174"/>
      <c r="O77" s="174"/>
      <c r="P77" s="174"/>
      <c r="Q77" s="117" t="e">
        <f>D71 +#REF! +#REF! +#REF! +#REF!</f>
        <v>#REF!</v>
      </c>
      <c r="T77" s="21"/>
      <c r="U77" s="52" t="s">
        <v>9</v>
      </c>
      <c r="V77" s="52">
        <f>A2</f>
        <v>2015</v>
      </c>
      <c r="W77" s="61"/>
      <c r="X77" s="55"/>
    </row>
    <row r="78" spans="1:24" ht="18.75" x14ac:dyDescent="0.3">
      <c r="A78" s="98" t="s">
        <v>11</v>
      </c>
      <c r="B78" s="104" t="s">
        <v>38</v>
      </c>
      <c r="C78" s="174" t="e">
        <f>G68 + P68 +#REF! +#REF!</f>
        <v>#REF!</v>
      </c>
      <c r="D78" s="174"/>
      <c r="E78" s="174" t="e">
        <f>H68 + Q68 +#REF! +#REF! +#REF!</f>
        <v>#REF!</v>
      </c>
      <c r="F78" s="174"/>
      <c r="G78" s="174" t="e">
        <f>E68 + I68 +#REF! +#REF! +#REF!</f>
        <v>#REF!</v>
      </c>
      <c r="H78" s="174"/>
      <c r="I78" s="174" t="e">
        <f>F68 +#REF! +#REF! +#REF! +#REF!</f>
        <v>#REF!</v>
      </c>
      <c r="J78" s="174"/>
      <c r="K78" s="174"/>
      <c r="L78" s="174"/>
      <c r="M78" s="174"/>
      <c r="N78" s="174"/>
      <c r="O78" s="174"/>
      <c r="P78" s="174"/>
      <c r="Q78" s="117" t="e">
        <f>D68 +#REF! +#REF! +#REF!</f>
        <v>#REF!</v>
      </c>
      <c r="T78" s="21"/>
      <c r="U78" s="62" t="s">
        <v>10</v>
      </c>
      <c r="V78" s="109">
        <f>V65</f>
        <v>15</v>
      </c>
      <c r="W78" s="61"/>
      <c r="X78" s="55"/>
    </row>
    <row r="79" spans="1:24" ht="18.75" x14ac:dyDescent="0.3">
      <c r="A79" s="98"/>
      <c r="B79" s="104" t="s">
        <v>40</v>
      </c>
      <c r="C79" s="174" t="e">
        <f>AVERAGE(G73,P73,#REF!,#REF!)</f>
        <v>#REF!</v>
      </c>
      <c r="D79" s="174"/>
      <c r="E79" s="175" t="e">
        <f xml:space="preserve"> AVERAGE(H73, Q73,#REF!,#REF!,#REF!)</f>
        <v>#REF!</v>
      </c>
      <c r="F79" s="175"/>
      <c r="G79" s="175" t="e">
        <f xml:space="preserve"> AVERAGE(E73, I73,#REF!,#REF!,#REF!)</f>
        <v>#REF!</v>
      </c>
      <c r="H79" s="175"/>
      <c r="I79" s="175" t="e">
        <f xml:space="preserve"> AVERAGE(F73,#REF!,#REF!,#REF!,#REF!)</f>
        <v>#REF!</v>
      </c>
      <c r="J79" s="175"/>
      <c r="K79" s="175"/>
      <c r="L79" s="175"/>
      <c r="M79" s="175"/>
      <c r="N79" s="175"/>
      <c r="O79" s="175"/>
      <c r="P79" s="175"/>
      <c r="Q79" s="118" t="e">
        <f xml:space="preserve"> AVERAGE(D73,#REF!,#REF!,#REF!)</f>
        <v>#REF!</v>
      </c>
      <c r="T79" s="21"/>
      <c r="U79" s="52" t="s">
        <v>30</v>
      </c>
      <c r="V79" s="105">
        <f>R69</f>
        <v>572</v>
      </c>
      <c r="W79" s="61"/>
      <c r="X79" s="55"/>
    </row>
    <row r="80" spans="1:24" ht="18.75" x14ac:dyDescent="0.3">
      <c r="A80" s="98"/>
      <c r="B80" s="94" t="s">
        <v>1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6" t="s">
        <v>16</v>
      </c>
      <c r="S80" s="16" t="s">
        <v>15</v>
      </c>
      <c r="T80" s="21"/>
      <c r="U80" s="52" t="s">
        <v>42</v>
      </c>
      <c r="V80" s="105">
        <f>R68</f>
        <v>95</v>
      </c>
      <c r="W80" s="61"/>
      <c r="X80" s="55"/>
    </row>
    <row r="81" spans="1:26" ht="18.75" x14ac:dyDescent="0.3">
      <c r="A81" s="22"/>
      <c r="B81" s="19">
        <v>12.2</v>
      </c>
      <c r="C81" s="171">
        <f>R68/(B81*Q73*R71)</f>
        <v>19.685111551540412</v>
      </c>
      <c r="D81" s="172"/>
      <c r="E81" s="171" t="e">
        <f>E78/(B81*E77*E79)</f>
        <v>#REF!</v>
      </c>
      <c r="F81" s="172"/>
      <c r="G81" s="171" t="e">
        <f>G78/(B81*G77*G79)</f>
        <v>#REF!</v>
      </c>
      <c r="H81" s="172"/>
      <c r="I81" s="171" t="e">
        <f>I78/(B81*I77*I79)</f>
        <v>#REF!</v>
      </c>
      <c r="J81" s="180"/>
      <c r="K81" s="180"/>
      <c r="L81" s="180"/>
      <c r="M81" s="180"/>
      <c r="N81" s="180"/>
      <c r="O81" s="180"/>
      <c r="P81" s="172"/>
      <c r="Q81" s="119" t="e">
        <f>Q78/(B81*Q77*Q79)</f>
        <v>#REF!</v>
      </c>
      <c r="R81" s="20" t="e">
        <f>AVERAGE(C81:Q81)</f>
        <v>#REF!</v>
      </c>
      <c r="S81" s="20" t="e">
        <f>STDEV(C81:Q81)</f>
        <v>#REF!</v>
      </c>
      <c r="T81" s="21"/>
      <c r="U81" s="52"/>
      <c r="V81" s="105"/>
      <c r="W81" s="61"/>
      <c r="X81" s="55"/>
    </row>
    <row r="82" spans="1:26" ht="18.75" x14ac:dyDescent="0.3">
      <c r="A82" s="26"/>
      <c r="B82" s="24">
        <v>19.3</v>
      </c>
      <c r="C82" s="171">
        <f>R68/(B82*Q73*R71)</f>
        <v>12.443438390092902</v>
      </c>
      <c r="D82" s="172"/>
      <c r="E82" s="171" t="e">
        <f>E78/(B82*E77*E79)</f>
        <v>#REF!</v>
      </c>
      <c r="F82" s="172"/>
      <c r="G82" s="171" t="e">
        <f>G78/(B82*G77*G79)</f>
        <v>#REF!</v>
      </c>
      <c r="H82" s="172"/>
      <c r="I82" s="171" t="e">
        <f>I78/(B82*I77*I79)</f>
        <v>#REF!</v>
      </c>
      <c r="J82" s="180"/>
      <c r="K82" s="180"/>
      <c r="L82" s="180"/>
      <c r="M82" s="180"/>
      <c r="N82" s="180"/>
      <c r="O82" s="180"/>
      <c r="P82" s="172"/>
      <c r="Q82" s="119" t="e">
        <f>Q78/(B82*Q77*Q79)</f>
        <v>#REF!</v>
      </c>
      <c r="R82" s="20" t="e">
        <f>AVERAGE(C82:Q82)</f>
        <v>#REF!</v>
      </c>
      <c r="S82" s="20" t="e">
        <f>STDEV(C82:Q82)</f>
        <v>#REF!</v>
      </c>
      <c r="T82" s="21"/>
      <c r="U82" s="106" t="s">
        <v>43</v>
      </c>
      <c r="V82" s="63"/>
      <c r="W82" s="61"/>
      <c r="X82" s="55"/>
    </row>
    <row r="83" spans="1:26" ht="18.75" x14ac:dyDescent="0.3">
      <c r="B83" s="19">
        <v>26.4</v>
      </c>
      <c r="C83" s="171">
        <f>R68/(B83*Q73*R71)</f>
        <v>9.0969076109391303</v>
      </c>
      <c r="D83" s="172"/>
      <c r="E83" s="171" t="e">
        <f>E78/(B83*E77*E79)</f>
        <v>#REF!</v>
      </c>
      <c r="F83" s="172"/>
      <c r="G83" s="171" t="e">
        <f>G78/(B83*G77*G79)</f>
        <v>#REF!</v>
      </c>
      <c r="H83" s="172"/>
      <c r="I83" s="171" t="e">
        <f>I78/(B83*I77*I79)</f>
        <v>#REF!</v>
      </c>
      <c r="J83" s="180"/>
      <c r="K83" s="180"/>
      <c r="L83" s="180"/>
      <c r="M83" s="180"/>
      <c r="N83" s="180"/>
      <c r="O83" s="180"/>
      <c r="P83" s="172"/>
      <c r="Q83" s="119" t="e">
        <f>Q78/(B83*Q77*Q79)</f>
        <v>#REF!</v>
      </c>
      <c r="R83" s="20" t="e">
        <f>AVERAGE(C83:Q83)</f>
        <v>#REF!</v>
      </c>
      <c r="S83" s="20" t="e">
        <f>STDEV(C83:Q83)</f>
        <v>#REF!</v>
      </c>
      <c r="T83" s="21"/>
      <c r="U83" s="62" t="s">
        <v>44</v>
      </c>
      <c r="V83" s="107">
        <f>AVERAGE(C81:D83)</f>
        <v>13.741819184190817</v>
      </c>
      <c r="W83" s="61" t="s">
        <v>48</v>
      </c>
      <c r="X83" s="110">
        <f>V83/0.386</f>
        <v>35.600567834691233</v>
      </c>
      <c r="Y83" s="110" t="s">
        <v>49</v>
      </c>
    </row>
    <row r="84" spans="1:26" ht="18.75" x14ac:dyDescent="0.3">
      <c r="B84" s="19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0"/>
      <c r="S84" s="20"/>
      <c r="T84" s="21"/>
      <c r="U84" s="71" t="s">
        <v>94</v>
      </c>
      <c r="V84" s="72">
        <f>_xlfn.VAR.S(C81:D83)</f>
        <v>29.291860186802808</v>
      </c>
      <c r="W84" s="61" t="s">
        <v>48</v>
      </c>
      <c r="X84" s="110">
        <f>V84/0.386</f>
        <v>75.885648152338874</v>
      </c>
      <c r="Y84" s="110" t="s">
        <v>49</v>
      </c>
    </row>
    <row r="85" spans="1:26" ht="18.75" x14ac:dyDescent="0.3">
      <c r="B85" s="77" t="s">
        <v>41</v>
      </c>
      <c r="C85" s="173">
        <f>AVERAGE(C81:C83)</f>
        <v>13.741819184190817</v>
      </c>
      <c r="D85" s="173"/>
      <c r="E85" s="173" t="e">
        <f>AVERAGE(E81:E83)</f>
        <v>#REF!</v>
      </c>
      <c r="F85" s="173"/>
      <c r="G85" s="173" t="e">
        <f>AVERAGE(G81:G83)</f>
        <v>#REF!</v>
      </c>
      <c r="H85" s="173"/>
      <c r="I85" s="173" t="e">
        <f>AVERAGE(I81:I83)</f>
        <v>#REF!</v>
      </c>
      <c r="J85" s="173"/>
      <c r="K85" s="173"/>
      <c r="L85" s="173"/>
      <c r="M85" s="173"/>
      <c r="N85" s="173"/>
      <c r="O85" s="173"/>
      <c r="P85" s="173"/>
      <c r="Q85" s="120" t="e">
        <f>AVERAGE(Q81:Q83)</f>
        <v>#REF!</v>
      </c>
      <c r="R85" s="20"/>
      <c r="S85" s="20"/>
      <c r="T85" s="21"/>
      <c r="U85" s="71" t="s">
        <v>46</v>
      </c>
      <c r="V85" s="72">
        <f>MAX(C81:D83)</f>
        <v>19.685111551540412</v>
      </c>
      <c r="W85" s="61" t="s">
        <v>48</v>
      </c>
      <c r="X85" s="110">
        <f>V85/0.386</f>
        <v>50.997698320052884</v>
      </c>
      <c r="Y85" s="110" t="s">
        <v>49</v>
      </c>
    </row>
    <row r="86" spans="1:26" ht="18.75" x14ac:dyDescent="0.3">
      <c r="T86" s="21"/>
      <c r="U86" s="71" t="s">
        <v>47</v>
      </c>
      <c r="V86" s="72">
        <f>MIN(C81:D83)</f>
        <v>9.0969076109391303</v>
      </c>
      <c r="W86" s="108" t="s">
        <v>48</v>
      </c>
      <c r="X86" s="110">
        <f>V86/0.386</f>
        <v>23.56711816305474</v>
      </c>
      <c r="Y86" s="110" t="s">
        <v>49</v>
      </c>
    </row>
    <row r="87" spans="1:26" ht="18.75" x14ac:dyDescent="0.3">
      <c r="T87" s="21"/>
      <c r="U87" s="68" t="s">
        <v>53</v>
      </c>
      <c r="V87" s="72">
        <f>COUNT(C81:Q83)</f>
        <v>3</v>
      </c>
      <c r="W87" s="61"/>
      <c r="X87" s="55"/>
    </row>
    <row r="88" spans="1:26" ht="18.75" x14ac:dyDescent="0.3">
      <c r="T88" s="21"/>
      <c r="U88" s="66"/>
      <c r="V88" s="72"/>
      <c r="W88" s="61"/>
      <c r="X88" s="61"/>
    </row>
    <row r="89" spans="1:26" ht="18.75" x14ac:dyDescent="0.3">
      <c r="A89" s="18"/>
      <c r="T89" s="21"/>
      <c r="U89" s="68" t="s">
        <v>54</v>
      </c>
      <c r="V89" s="69"/>
      <c r="W89" s="110">
        <f>V83-V92</f>
        <v>4.6176001911891795</v>
      </c>
      <c r="X89" s="110">
        <f>V83+V92</f>
        <v>22.866038177192454</v>
      </c>
      <c r="Y89" s="111" t="s">
        <v>48</v>
      </c>
      <c r="Z89"/>
    </row>
    <row r="90" spans="1:26" ht="18.75" x14ac:dyDescent="0.3">
      <c r="R90" s="9"/>
      <c r="S90" s="9"/>
      <c r="T90" s="21"/>
      <c r="U90" s="71"/>
      <c r="V90" s="74"/>
      <c r="W90" s="110">
        <f>W89/0.386</f>
        <v>11.96269479582689</v>
      </c>
      <c r="X90" s="110">
        <f>X89/0.386</f>
        <v>59.238440873555582</v>
      </c>
      <c r="Y90" s="111" t="s">
        <v>49</v>
      </c>
    </row>
    <row r="91" spans="1:26" ht="23.25" x14ac:dyDescent="0.35">
      <c r="R91" s="38"/>
      <c r="S91" s="39"/>
      <c r="T91" s="21"/>
      <c r="V91" s="18"/>
    </row>
    <row r="92" spans="1:26" ht="23.25" x14ac:dyDescent="0.35">
      <c r="R92" s="39"/>
      <c r="S92" s="41"/>
      <c r="T92" s="21"/>
      <c r="U92" s="2" t="s">
        <v>52</v>
      </c>
      <c r="V92" s="18">
        <f>2.92*V93</f>
        <v>9.1242189930016373</v>
      </c>
    </row>
    <row r="93" spans="1:26" s="18" customFormat="1" ht="23.2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9"/>
      <c r="S93" s="41"/>
      <c r="T93" s="27"/>
      <c r="U93" s="2" t="s">
        <v>96</v>
      </c>
      <c r="V93" s="18">
        <f>SQRT(V84)/SQRT(V87)</f>
        <v>3.124732531849876</v>
      </c>
    </row>
    <row r="94" spans="1:26" ht="15" x14ac:dyDescent="0.25">
      <c r="R94" s="48"/>
      <c r="S94" s="49"/>
      <c r="V94" s="18"/>
      <c r="W94" s="31"/>
      <c r="X94" s="31"/>
    </row>
    <row r="95" spans="1:26" ht="17.25" customHeight="1" x14ac:dyDescent="0.25">
      <c r="R95" s="57"/>
      <c r="S95" s="49"/>
      <c r="V95" s="18"/>
      <c r="W95" s="31"/>
      <c r="X95" s="31"/>
    </row>
    <row r="96" spans="1:26" ht="15.75" customHeight="1" x14ac:dyDescent="0.25">
      <c r="R96" s="57"/>
      <c r="S96" s="49"/>
      <c r="U96" s="18"/>
      <c r="V96" s="18"/>
      <c r="W96" s="31"/>
      <c r="X96" s="31"/>
      <c r="Z96" s="36"/>
    </row>
    <row r="97" spans="1:25" ht="15" customHeight="1" x14ac:dyDescent="0.25">
      <c r="R97" s="57"/>
      <c r="S97" s="49"/>
      <c r="U97" s="30"/>
      <c r="V97" s="31"/>
      <c r="W97" s="31"/>
      <c r="X97" s="31"/>
    </row>
    <row r="98" spans="1:25" ht="15.75" customHeight="1" x14ac:dyDescent="0.3">
      <c r="R98" s="48"/>
      <c r="S98" s="49"/>
      <c r="U98" s="34"/>
      <c r="V98" s="35"/>
      <c r="W98" s="31"/>
      <c r="X98" s="31"/>
    </row>
    <row r="99" spans="1:25" ht="16.5" customHeight="1" x14ac:dyDescent="0.3">
      <c r="R99" s="48"/>
      <c r="S99" s="49"/>
      <c r="T99" s="9"/>
      <c r="U99" s="34"/>
      <c r="V99" s="31"/>
    </row>
    <row r="100" spans="1:25" ht="16.5" customHeight="1" x14ac:dyDescent="0.35">
      <c r="R100" s="48"/>
      <c r="S100" s="49"/>
      <c r="T100" s="39"/>
      <c r="U100" s="34"/>
      <c r="V100" s="37"/>
    </row>
    <row r="101" spans="1:25" ht="16.5" customHeight="1" x14ac:dyDescent="0.3">
      <c r="R101" s="48"/>
      <c r="S101" s="49"/>
      <c r="T101" s="41"/>
      <c r="U101" s="34"/>
      <c r="V101" s="31"/>
    </row>
    <row r="102" spans="1:25" x14ac:dyDescent="0.2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48"/>
      <c r="S102" s="49"/>
      <c r="T102" s="41"/>
    </row>
    <row r="103" spans="1:25" x14ac:dyDescent="0.2">
      <c r="A103" s="64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48"/>
      <c r="S103" s="49"/>
      <c r="T103" s="50"/>
      <c r="U103" s="40"/>
      <c r="W103" s="51"/>
      <c r="X103" s="51"/>
      <c r="Y103" s="51"/>
    </row>
    <row r="104" spans="1:25" x14ac:dyDescent="0.2">
      <c r="A104" s="64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48"/>
      <c r="S104" s="49"/>
      <c r="T104" s="50"/>
      <c r="U104" s="40"/>
      <c r="W104" s="51"/>
      <c r="X104" s="60"/>
      <c r="Y104" s="60"/>
    </row>
    <row r="105" spans="1:25" x14ac:dyDescent="0.2">
      <c r="A105" s="64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48"/>
      <c r="S105" s="49"/>
      <c r="T105" s="50"/>
      <c r="U105" s="40"/>
      <c r="W105" s="51"/>
      <c r="X105" s="60"/>
      <c r="Y105" s="60"/>
    </row>
    <row r="106" spans="1:25" x14ac:dyDescent="0.2">
      <c r="A106" s="64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48"/>
      <c r="S106" s="49"/>
      <c r="T106" s="50"/>
      <c r="U106" s="40"/>
      <c r="V106" s="51"/>
      <c r="W106" s="51"/>
      <c r="X106" s="60"/>
      <c r="Y106" s="60"/>
    </row>
    <row r="107" spans="1:25" x14ac:dyDescent="0.2">
      <c r="A107" s="67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48"/>
      <c r="S107" s="49"/>
      <c r="T107" s="50"/>
      <c r="U107" s="58"/>
      <c r="V107" s="59"/>
      <c r="W107" s="51"/>
      <c r="X107" s="60"/>
      <c r="Y107" s="60"/>
    </row>
    <row r="108" spans="1:25" x14ac:dyDescent="0.2">
      <c r="A108" s="67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48"/>
      <c r="S108" s="49"/>
      <c r="T108" s="50"/>
      <c r="U108" s="58"/>
      <c r="V108" s="59"/>
      <c r="W108" s="51"/>
      <c r="X108" s="60"/>
      <c r="Y108" s="60"/>
    </row>
    <row r="109" spans="1:25" x14ac:dyDescent="0.2">
      <c r="A109" s="73"/>
      <c r="R109" s="48"/>
      <c r="S109" s="49"/>
      <c r="T109" s="50"/>
      <c r="U109" s="58"/>
      <c r="V109" s="59"/>
      <c r="W109" s="51"/>
      <c r="X109" s="60"/>
      <c r="Y109" s="60"/>
    </row>
    <row r="110" spans="1:25" x14ac:dyDescent="0.2">
      <c r="A110" s="73"/>
      <c r="B110" s="27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48"/>
      <c r="S110" s="49"/>
      <c r="T110" s="50"/>
      <c r="U110" s="65"/>
      <c r="V110" s="59"/>
      <c r="W110" s="51"/>
      <c r="X110" s="60"/>
      <c r="Y110" s="60"/>
    </row>
    <row r="111" spans="1:25" s="60" customFormat="1" x14ac:dyDescent="0.2">
      <c r="A111" s="73"/>
      <c r="B111" s="27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48"/>
      <c r="S111" s="49"/>
      <c r="T111" s="50"/>
      <c r="U111" s="58"/>
      <c r="V111" s="59"/>
      <c r="W111" s="51"/>
    </row>
    <row r="112" spans="1:25" s="60" customFormat="1" x14ac:dyDescent="0.2">
      <c r="A112" s="7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8"/>
      <c r="S112" s="49"/>
      <c r="T112" s="50"/>
      <c r="U112" s="58"/>
      <c r="V112" s="59"/>
      <c r="W112" s="51"/>
    </row>
    <row r="113" spans="1:25" s="60" customFormat="1" x14ac:dyDescent="0.2">
      <c r="A113" s="7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48"/>
      <c r="S113" s="49"/>
      <c r="T113" s="50"/>
      <c r="U113" s="58"/>
      <c r="V113" s="59"/>
      <c r="W113" s="51"/>
    </row>
    <row r="114" spans="1:25" s="60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8"/>
      <c r="S114" s="49"/>
      <c r="T114" s="50"/>
      <c r="U114" s="58"/>
      <c r="V114" s="59"/>
      <c r="W114" s="51"/>
    </row>
    <row r="115" spans="1:25" s="60" customFormat="1" x14ac:dyDescent="0.2">
      <c r="A115" s="22"/>
      <c r="B115" s="1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48"/>
      <c r="S115" s="49"/>
      <c r="T115" s="50"/>
      <c r="U115" s="58"/>
      <c r="V115" s="59"/>
      <c r="W115" s="51"/>
    </row>
    <row r="116" spans="1:25" s="60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48"/>
      <c r="S116" s="49"/>
      <c r="T116" s="50"/>
      <c r="U116" s="58"/>
      <c r="V116" s="59"/>
      <c r="W116" s="51"/>
    </row>
    <row r="117" spans="1:25" s="60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48"/>
      <c r="S117" s="49"/>
      <c r="T117" s="50"/>
      <c r="U117" s="58"/>
      <c r="V117" s="59"/>
      <c r="W117" s="51"/>
    </row>
    <row r="118" spans="1:25" x14ac:dyDescent="0.2">
      <c r="R118" s="48"/>
      <c r="S118" s="49"/>
      <c r="T118" s="50"/>
      <c r="U118" s="58"/>
      <c r="V118" s="59"/>
      <c r="W118" s="51"/>
      <c r="X118" s="51"/>
      <c r="Y118" s="51"/>
    </row>
    <row r="119" spans="1:25" x14ac:dyDescent="0.2">
      <c r="R119" s="48"/>
      <c r="S119" s="49"/>
      <c r="T119" s="50"/>
      <c r="U119" s="58"/>
      <c r="V119" s="59"/>
      <c r="W119" s="51"/>
      <c r="X119" s="51"/>
      <c r="Y119" s="51"/>
    </row>
    <row r="120" spans="1:25" x14ac:dyDescent="0.2">
      <c r="R120" s="48"/>
      <c r="S120" s="49"/>
      <c r="T120" s="50"/>
      <c r="U120" s="58"/>
      <c r="V120" s="59"/>
      <c r="W120" s="51"/>
      <c r="X120" s="51"/>
      <c r="Y120" s="51"/>
    </row>
    <row r="121" spans="1:25" x14ac:dyDescent="0.2">
      <c r="R121" s="48"/>
      <c r="S121" s="49"/>
      <c r="T121" s="50"/>
      <c r="U121" s="58"/>
      <c r="V121" s="51"/>
      <c r="W121" s="51"/>
      <c r="X121" s="51"/>
      <c r="Y121" s="51"/>
    </row>
    <row r="122" spans="1:25" x14ac:dyDescent="0.2">
      <c r="R122" s="40"/>
      <c r="S122" s="50"/>
      <c r="T122" s="50"/>
      <c r="U122" s="58"/>
      <c r="V122" s="51"/>
      <c r="W122" s="51"/>
      <c r="X122" s="51"/>
      <c r="Y122" s="51"/>
    </row>
    <row r="123" spans="1:25" x14ac:dyDescent="0.2">
      <c r="R123" s="40"/>
      <c r="S123" s="40"/>
      <c r="T123" s="50"/>
      <c r="U123" s="58"/>
      <c r="V123" s="51"/>
      <c r="W123" s="51"/>
      <c r="X123" s="51"/>
      <c r="Y123" s="51"/>
    </row>
    <row r="124" spans="1:25" x14ac:dyDescent="0.2">
      <c r="T124" s="50"/>
      <c r="U124" s="58"/>
      <c r="V124" s="51"/>
      <c r="W124" s="51"/>
      <c r="X124" s="51"/>
      <c r="Y124" s="51"/>
    </row>
    <row r="125" spans="1:25" x14ac:dyDescent="0.2">
      <c r="T125" s="50"/>
      <c r="U125" s="76"/>
      <c r="V125" s="51"/>
      <c r="W125" s="51"/>
      <c r="X125" s="51"/>
      <c r="Y125" s="51"/>
    </row>
    <row r="126" spans="1:25" x14ac:dyDescent="0.2">
      <c r="T126" s="50"/>
      <c r="U126" s="76"/>
      <c r="V126" s="51"/>
      <c r="W126" s="51"/>
      <c r="X126" s="51"/>
      <c r="Y126" s="51"/>
    </row>
    <row r="127" spans="1:25" x14ac:dyDescent="0.2">
      <c r="T127" s="50"/>
      <c r="U127" s="76"/>
      <c r="V127" s="51"/>
      <c r="W127" s="51"/>
      <c r="X127" s="51"/>
      <c r="Y127" s="51"/>
    </row>
    <row r="128" spans="1:25" x14ac:dyDescent="0.2">
      <c r="T128" s="50"/>
      <c r="U128" s="76"/>
      <c r="V128" s="51"/>
      <c r="W128" s="51"/>
      <c r="X128" s="51"/>
      <c r="Y128" s="51"/>
    </row>
    <row r="129" spans="20:25" x14ac:dyDescent="0.2">
      <c r="T129" s="50"/>
      <c r="U129" s="76"/>
      <c r="V129" s="51"/>
      <c r="W129" s="51"/>
      <c r="X129" s="51"/>
      <c r="Y129" s="51"/>
    </row>
    <row r="130" spans="20:25" x14ac:dyDescent="0.2">
      <c r="T130" s="50"/>
      <c r="U130" s="76"/>
      <c r="V130" s="51"/>
      <c r="W130" s="51"/>
      <c r="X130" s="51"/>
      <c r="Y130" s="51"/>
    </row>
    <row r="131" spans="20:25" x14ac:dyDescent="0.2">
      <c r="T131" s="50"/>
      <c r="U131" s="76"/>
      <c r="V131" s="51"/>
      <c r="W131" s="51"/>
      <c r="X131" s="51"/>
      <c r="Y131" s="51"/>
    </row>
    <row r="132" spans="20:25" x14ac:dyDescent="0.2">
      <c r="T132" s="40"/>
      <c r="U132" s="76"/>
      <c r="V132" s="51"/>
      <c r="W132" s="51"/>
      <c r="X132" s="51"/>
      <c r="Y132" s="51"/>
    </row>
    <row r="133" spans="20:25" x14ac:dyDescent="0.2">
      <c r="U133" s="76"/>
      <c r="V133" s="51"/>
    </row>
    <row r="134" spans="20:25" x14ac:dyDescent="0.2">
      <c r="U134" s="76"/>
      <c r="V134" s="51"/>
    </row>
    <row r="135" spans="20:25" x14ac:dyDescent="0.2">
      <c r="U135" s="76"/>
      <c r="V135" s="51"/>
    </row>
  </sheetData>
  <mergeCells count="32">
    <mergeCell ref="C83:D83"/>
    <mergeCell ref="E83:F83"/>
    <mergeCell ref="G83:H83"/>
    <mergeCell ref="I83:P83"/>
    <mergeCell ref="C85:D85"/>
    <mergeCell ref="E85:F85"/>
    <mergeCell ref="G85:H85"/>
    <mergeCell ref="I85:P85"/>
    <mergeCell ref="C81:D81"/>
    <mergeCell ref="E81:F81"/>
    <mergeCell ref="G81:H81"/>
    <mergeCell ref="I81:P81"/>
    <mergeCell ref="C82:D82"/>
    <mergeCell ref="E82:F82"/>
    <mergeCell ref="G82:H82"/>
    <mergeCell ref="I82:P82"/>
    <mergeCell ref="C78:D78"/>
    <mergeCell ref="E78:F78"/>
    <mergeCell ref="G78:H78"/>
    <mergeCell ref="I78:P78"/>
    <mergeCell ref="C79:D79"/>
    <mergeCell ref="E79:F79"/>
    <mergeCell ref="G79:H79"/>
    <mergeCell ref="I79:P79"/>
    <mergeCell ref="C76:D76"/>
    <mergeCell ref="E76:F76"/>
    <mergeCell ref="G76:H76"/>
    <mergeCell ref="I76:P76"/>
    <mergeCell ref="C77:D77"/>
    <mergeCell ref="E77:F77"/>
    <mergeCell ref="G77:H77"/>
    <mergeCell ref="I77:P77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workbookViewId="0">
      <selection activeCell="H24" sqref="H24"/>
    </sheetView>
  </sheetViews>
  <sheetFormatPr defaultRowHeight="12.75" x14ac:dyDescent="0.2"/>
  <cols>
    <col min="1" max="1" width="12.28515625" bestFit="1" customWidth="1"/>
    <col min="4" max="4" width="15.85546875" bestFit="1" customWidth="1"/>
  </cols>
  <sheetData>
    <row r="4" spans="1:6" x14ac:dyDescent="0.2">
      <c r="C4" t="s">
        <v>129</v>
      </c>
      <c r="D4" t="s">
        <v>130</v>
      </c>
      <c r="E4" t="s">
        <v>131</v>
      </c>
      <c r="F4" s="113" t="s">
        <v>16</v>
      </c>
    </row>
    <row r="5" spans="1:6" x14ac:dyDescent="0.2">
      <c r="A5" t="s">
        <v>110</v>
      </c>
      <c r="C5">
        <v>1659</v>
      </c>
      <c r="D5">
        <v>112</v>
      </c>
      <c r="E5" s="116">
        <f>D5*100/C5</f>
        <v>6.7510548523206753</v>
      </c>
      <c r="F5">
        <v>13.7</v>
      </c>
    </row>
    <row r="6" spans="1:6" x14ac:dyDescent="0.2">
      <c r="A6" t="s">
        <v>113</v>
      </c>
      <c r="C6">
        <v>572</v>
      </c>
      <c r="D6">
        <v>95</v>
      </c>
      <c r="E6" s="116">
        <f>D6*100/C6</f>
        <v>16.60839160839161</v>
      </c>
      <c r="F6">
        <v>35.6</v>
      </c>
    </row>
    <row r="7" spans="1:6" x14ac:dyDescent="0.2">
      <c r="A7" t="s">
        <v>98</v>
      </c>
      <c r="C7">
        <v>2181</v>
      </c>
      <c r="D7">
        <v>47</v>
      </c>
      <c r="E7" s="116">
        <f t="shared" ref="E7:E14" si="0">D7*100/C7</f>
        <v>2.1549747822099956</v>
      </c>
      <c r="F7">
        <v>3.7</v>
      </c>
    </row>
    <row r="8" spans="1:6" x14ac:dyDescent="0.2">
      <c r="A8" t="s">
        <v>29</v>
      </c>
      <c r="C8">
        <v>1500</v>
      </c>
      <c r="D8">
        <v>116</v>
      </c>
      <c r="E8" s="116">
        <f t="shared" si="0"/>
        <v>7.7333333333333334</v>
      </c>
      <c r="F8">
        <v>20.7</v>
      </c>
    </row>
    <row r="9" spans="1:6" x14ac:dyDescent="0.2">
      <c r="A9" t="s">
        <v>125</v>
      </c>
      <c r="C9">
        <v>2239</v>
      </c>
      <c r="D9">
        <v>174</v>
      </c>
      <c r="E9" s="116">
        <f t="shared" si="0"/>
        <v>7.7713264850379637</v>
      </c>
      <c r="F9">
        <v>13.1</v>
      </c>
    </row>
    <row r="10" spans="1:6" x14ac:dyDescent="0.2">
      <c r="A10" t="s">
        <v>127</v>
      </c>
      <c r="C10">
        <v>326</v>
      </c>
      <c r="D10">
        <v>7</v>
      </c>
      <c r="E10" s="116">
        <f t="shared" si="0"/>
        <v>2.147239263803681</v>
      </c>
      <c r="F10">
        <v>8.8000000000000007</v>
      </c>
    </row>
    <row r="11" spans="1:6" x14ac:dyDescent="0.2">
      <c r="A11" t="s">
        <v>128</v>
      </c>
      <c r="C11">
        <v>304</v>
      </c>
      <c r="D11">
        <v>61</v>
      </c>
      <c r="E11" s="116">
        <f t="shared" si="0"/>
        <v>20.065789473684209</v>
      </c>
      <c r="F11">
        <v>81.8</v>
      </c>
    </row>
    <row r="12" spans="1:6" x14ac:dyDescent="0.2">
      <c r="A12" t="s">
        <v>132</v>
      </c>
      <c r="C12">
        <v>454</v>
      </c>
      <c r="D12">
        <v>11</v>
      </c>
      <c r="E12" s="116">
        <f t="shared" si="0"/>
        <v>2.4229074889867843</v>
      </c>
      <c r="F12">
        <v>6.6</v>
      </c>
    </row>
    <row r="13" spans="1:6" x14ac:dyDescent="0.2">
      <c r="A13" t="s">
        <v>133</v>
      </c>
      <c r="C13">
        <v>678</v>
      </c>
      <c r="D13">
        <v>74</v>
      </c>
      <c r="E13" s="116">
        <f t="shared" si="0"/>
        <v>10.914454277286136</v>
      </c>
      <c r="F13">
        <v>31.8</v>
      </c>
    </row>
    <row r="14" spans="1:6" x14ac:dyDescent="0.2">
      <c r="A14" t="s">
        <v>107</v>
      </c>
      <c r="C14">
        <v>549</v>
      </c>
      <c r="D14">
        <v>97</v>
      </c>
      <c r="E14" s="116">
        <f t="shared" si="0"/>
        <v>17.668488160291439</v>
      </c>
      <c r="F14">
        <v>42.5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72" sqref="K72:L72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17" width="11.42578125" style="2" customWidth="1"/>
    <col min="18" max="18" width="10.7109375" style="2" customWidth="1"/>
    <col min="19" max="19" width="9.42578125" style="2" customWidth="1"/>
    <col min="20" max="20" width="9.7109375" style="2" bestFit="1" customWidth="1"/>
    <col min="21" max="21" width="35.140625" style="2" customWidth="1"/>
    <col min="22" max="22" width="15.28515625" style="2" bestFit="1" customWidth="1"/>
    <col min="23" max="23" width="12.28515625" style="2" bestFit="1" customWidth="1"/>
    <col min="24" max="24" width="20.42578125" style="2" bestFit="1" customWidth="1"/>
    <col min="25" max="25" width="15.5703125" style="2" bestFit="1" customWidth="1"/>
    <col min="26" max="16384" width="11.42578125" style="2"/>
  </cols>
  <sheetData>
    <row r="1" spans="1:22" ht="15.75" x14ac:dyDescent="0.25">
      <c r="A1" s="95" t="s">
        <v>136</v>
      </c>
      <c r="B1" s="84"/>
      <c r="C1" s="85" t="s">
        <v>147</v>
      </c>
      <c r="D1" s="153" t="s">
        <v>148</v>
      </c>
      <c r="E1" s="85" t="s">
        <v>149</v>
      </c>
      <c r="F1" s="153" t="s">
        <v>150</v>
      </c>
      <c r="G1" s="85" t="s">
        <v>151</v>
      </c>
      <c r="H1" s="153" t="s">
        <v>152</v>
      </c>
      <c r="I1" s="85" t="s">
        <v>153</v>
      </c>
      <c r="J1" s="153" t="s">
        <v>154</v>
      </c>
      <c r="K1" s="85" t="s">
        <v>155</v>
      </c>
      <c r="L1" s="153" t="s">
        <v>156</v>
      </c>
      <c r="M1" s="85" t="s">
        <v>157</v>
      </c>
      <c r="N1" s="153" t="s">
        <v>158</v>
      </c>
      <c r="O1" s="85" t="s">
        <v>159</v>
      </c>
      <c r="P1" s="153" t="s">
        <v>160</v>
      </c>
      <c r="Q1" s="85" t="s">
        <v>161</v>
      </c>
      <c r="R1" s="153" t="s">
        <v>171</v>
      </c>
      <c r="S1" s="85" t="s">
        <v>172</v>
      </c>
      <c r="T1" s="153" t="s">
        <v>173</v>
      </c>
      <c r="U1" s="85" t="s">
        <v>174</v>
      </c>
      <c r="V1" s="153" t="s">
        <v>175</v>
      </c>
    </row>
    <row r="2" spans="1:22" ht="15" x14ac:dyDescent="0.25">
      <c r="A2" s="96">
        <v>2018</v>
      </c>
      <c r="B2" s="84" t="s">
        <v>13</v>
      </c>
      <c r="C2" s="157">
        <v>43213</v>
      </c>
      <c r="D2" s="156">
        <v>43213</v>
      </c>
      <c r="E2" s="157">
        <v>43204</v>
      </c>
      <c r="F2" s="156">
        <v>43213</v>
      </c>
      <c r="G2" s="157">
        <v>43204</v>
      </c>
      <c r="H2" s="156">
        <v>43213</v>
      </c>
      <c r="I2" s="157">
        <v>43204</v>
      </c>
      <c r="J2" s="156">
        <v>43213</v>
      </c>
      <c r="K2" s="157">
        <v>43204</v>
      </c>
      <c r="L2" s="156">
        <v>43213</v>
      </c>
      <c r="M2" s="157">
        <v>43213</v>
      </c>
      <c r="N2" s="156">
        <v>43213</v>
      </c>
      <c r="O2" s="157">
        <v>43213</v>
      </c>
      <c r="P2" s="156">
        <v>43213</v>
      </c>
      <c r="Q2" s="157">
        <v>43213</v>
      </c>
      <c r="R2" s="156">
        <v>43203</v>
      </c>
      <c r="S2" s="157">
        <v>43203</v>
      </c>
      <c r="T2" s="156">
        <v>43203</v>
      </c>
      <c r="U2" s="157">
        <v>43203</v>
      </c>
      <c r="V2" s="156">
        <v>43203</v>
      </c>
    </row>
    <row r="3" spans="1:22" ht="15" x14ac:dyDescent="0.25">
      <c r="B3" s="97">
        <v>1</v>
      </c>
      <c r="C3" s="4">
        <v>0</v>
      </c>
      <c r="D3" s="152">
        <v>0</v>
      </c>
      <c r="E3" s="4">
        <v>0</v>
      </c>
      <c r="F3" s="152">
        <v>0</v>
      </c>
      <c r="G3" s="4">
        <v>0</v>
      </c>
      <c r="H3" s="152">
        <v>0</v>
      </c>
      <c r="I3" s="4">
        <v>0</v>
      </c>
      <c r="J3" s="152">
        <v>0</v>
      </c>
      <c r="K3" s="4">
        <v>0</v>
      </c>
      <c r="L3" s="152">
        <v>0</v>
      </c>
      <c r="M3" s="4">
        <v>0</v>
      </c>
      <c r="N3" s="152">
        <v>0</v>
      </c>
      <c r="O3" s="4">
        <v>0</v>
      </c>
      <c r="P3" s="152">
        <v>0</v>
      </c>
      <c r="Q3" s="4">
        <v>0</v>
      </c>
      <c r="R3" s="152">
        <v>0</v>
      </c>
      <c r="S3" s="4">
        <v>0</v>
      </c>
      <c r="T3" s="152">
        <v>0</v>
      </c>
      <c r="U3" s="4">
        <v>0</v>
      </c>
      <c r="V3" s="152">
        <v>1</v>
      </c>
    </row>
    <row r="4" spans="1:22" ht="15" x14ac:dyDescent="0.25">
      <c r="B4" s="97">
        <f>1+B3</f>
        <v>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</row>
    <row r="5" spans="1:22" ht="15" x14ac:dyDescent="0.25">
      <c r="B5" s="97">
        <f t="shared" ref="B5:B58" si="0">1+B4</f>
        <v>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1</v>
      </c>
    </row>
    <row r="6" spans="1:22" ht="15" x14ac:dyDescent="0.25">
      <c r="B6" s="97">
        <f t="shared" si="0"/>
        <v>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</row>
    <row r="7" spans="1:22" ht="15" x14ac:dyDescent="0.25">
      <c r="B7" s="97">
        <f t="shared" si="0"/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2" ht="15" x14ac:dyDescent="0.25">
      <c r="B8" s="97">
        <f t="shared" si="0"/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0</v>
      </c>
      <c r="S8" s="4">
        <v>0</v>
      </c>
      <c r="T8" s="4">
        <v>2</v>
      </c>
      <c r="U8" s="4">
        <v>0</v>
      </c>
      <c r="V8" s="4">
        <v>0</v>
      </c>
    </row>
    <row r="9" spans="1:22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/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</row>
    <row r="10" spans="1:22" ht="15" x14ac:dyDescent="0.25">
      <c r="B10" s="97">
        <f t="shared" si="0"/>
        <v>8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/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</row>
    <row r="11" spans="1:22" ht="15" x14ac:dyDescent="0.25">
      <c r="B11" s="97">
        <f t="shared" si="0"/>
        <v>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/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/>
      <c r="N12" s="4">
        <v>0</v>
      </c>
      <c r="O12" s="4">
        <v>0</v>
      </c>
      <c r="P12" s="4"/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</row>
    <row r="13" spans="1:22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  <c r="I13" s="4">
        <v>0</v>
      </c>
      <c r="J13" s="4">
        <v>1</v>
      </c>
      <c r="K13" s="4"/>
      <c r="L13" s="4">
        <v>0</v>
      </c>
      <c r="M13" s="4"/>
      <c r="N13" s="4"/>
      <c r="O13" s="4">
        <v>0</v>
      </c>
      <c r="P13" s="4"/>
      <c r="Q13" s="4"/>
      <c r="R13" s="4">
        <v>0</v>
      </c>
      <c r="S13" s="4">
        <v>1</v>
      </c>
      <c r="T13" s="4">
        <v>0</v>
      </c>
      <c r="U13" s="4">
        <v>0</v>
      </c>
      <c r="V13" s="4">
        <v>1</v>
      </c>
    </row>
    <row r="14" spans="1:22" ht="15" x14ac:dyDescent="0.25">
      <c r="B14" s="97">
        <f t="shared" si="0"/>
        <v>12</v>
      </c>
      <c r="C14" s="4">
        <v>0</v>
      </c>
      <c r="D14" s="4">
        <v>0</v>
      </c>
      <c r="E14" s="4">
        <v>0</v>
      </c>
      <c r="F14" s="4">
        <v>0</v>
      </c>
      <c r="G14" s="4"/>
      <c r="H14" s="4"/>
      <c r="I14" s="4">
        <v>0</v>
      </c>
      <c r="J14" s="4">
        <v>0</v>
      </c>
      <c r="K14" s="4"/>
      <c r="L14" s="4">
        <v>0</v>
      </c>
      <c r="M14" s="4"/>
      <c r="N14" s="4"/>
      <c r="O14" s="4"/>
      <c r="P14" s="4"/>
      <c r="Q14" s="4"/>
      <c r="R14" s="4">
        <v>0</v>
      </c>
      <c r="S14" s="4">
        <v>0</v>
      </c>
      <c r="T14" s="4">
        <v>1</v>
      </c>
      <c r="U14" s="4">
        <v>0</v>
      </c>
      <c r="V14" s="4">
        <v>0</v>
      </c>
    </row>
    <row r="15" spans="1:22" ht="15" x14ac:dyDescent="0.25">
      <c r="B15" s="97">
        <f t="shared" si="0"/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ht="15" x14ac:dyDescent="0.25">
      <c r="B16" s="97">
        <f t="shared" si="0"/>
        <v>14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0</v>
      </c>
      <c r="S16" s="4">
        <v>0</v>
      </c>
      <c r="T16" s="4">
        <v>0</v>
      </c>
      <c r="U16" s="4">
        <v>0</v>
      </c>
      <c r="V16" s="4">
        <v>1</v>
      </c>
    </row>
    <row r="17" spans="2:22" ht="15" x14ac:dyDescent="0.25">
      <c r="B17" s="97">
        <f t="shared" si="0"/>
        <v>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0</v>
      </c>
      <c r="S17" s="4">
        <v>0</v>
      </c>
      <c r="T17" s="4"/>
      <c r="U17" s="4">
        <v>0</v>
      </c>
      <c r="V17" s="4">
        <v>0</v>
      </c>
    </row>
    <row r="18" spans="2:22" ht="15" x14ac:dyDescent="0.25">
      <c r="B18" s="97">
        <f t="shared" si="0"/>
        <v>16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0</v>
      </c>
      <c r="S18" s="4"/>
      <c r="T18" s="4"/>
      <c r="U18" s="4">
        <v>0</v>
      </c>
      <c r="V18" s="4">
        <v>0</v>
      </c>
    </row>
    <row r="19" spans="2:22" ht="15" x14ac:dyDescent="0.25">
      <c r="B19" s="97">
        <f t="shared" si="0"/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0</v>
      </c>
      <c r="V19" s="4">
        <v>0</v>
      </c>
    </row>
    <row r="20" spans="2:22" ht="15" x14ac:dyDescent="0.25">
      <c r="B20" s="97">
        <f t="shared" si="0"/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0</v>
      </c>
      <c r="V20" s="4">
        <v>0</v>
      </c>
    </row>
    <row r="21" spans="2:22" ht="15" x14ac:dyDescent="0.25">
      <c r="B21" s="97">
        <f t="shared" si="0"/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1</v>
      </c>
      <c r="V21" s="4">
        <v>0</v>
      </c>
    </row>
    <row r="22" spans="2:22" ht="15" x14ac:dyDescent="0.25">
      <c r="B22" s="97">
        <f t="shared" si="0"/>
        <v>20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0</v>
      </c>
      <c r="V22" s="4">
        <v>1</v>
      </c>
    </row>
    <row r="23" spans="2:22" ht="15" x14ac:dyDescent="0.25">
      <c r="B23" s="97">
        <f t="shared" si="0"/>
        <v>21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0</v>
      </c>
      <c r="V23" s="4">
        <v>0</v>
      </c>
    </row>
    <row r="24" spans="2:22" ht="15" x14ac:dyDescent="0.25">
      <c r="B24" s="97">
        <f t="shared" si="0"/>
        <v>22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v>0</v>
      </c>
      <c r="V24" s="4">
        <v>0</v>
      </c>
    </row>
    <row r="25" spans="2:22" ht="15" x14ac:dyDescent="0.25">
      <c r="B25" s="97">
        <f t="shared" si="0"/>
        <v>23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0</v>
      </c>
      <c r="V25" s="4">
        <v>0</v>
      </c>
    </row>
    <row r="26" spans="2:22" ht="15" x14ac:dyDescent="0.25">
      <c r="B26" s="97">
        <f t="shared" si="0"/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v>0</v>
      </c>
      <c r="V26" s="4">
        <v>0</v>
      </c>
    </row>
    <row r="27" spans="2:22" ht="15" x14ac:dyDescent="0.25">
      <c r="B27" s="97">
        <v>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v>0</v>
      </c>
      <c r="V27" s="4">
        <v>3</v>
      </c>
    </row>
    <row r="28" spans="2:22" ht="15" x14ac:dyDescent="0.25">
      <c r="B28" s="97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0</v>
      </c>
      <c r="V28" s="4">
        <v>0</v>
      </c>
    </row>
    <row r="29" spans="2:22" ht="15" x14ac:dyDescent="0.25">
      <c r="B29" s="97">
        <v>27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2" ht="15" x14ac:dyDescent="0.25">
      <c r="B30" s="97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5" x14ac:dyDescent="0.25">
      <c r="B31" s="97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15" x14ac:dyDescent="0.25">
      <c r="B32" s="97">
        <v>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"/>
    </row>
    <row r="33" spans="2:21" ht="15" x14ac:dyDescent="0.25">
      <c r="B33" s="97">
        <v>31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/>
    </row>
    <row r="34" spans="2:21" ht="15" x14ac:dyDescent="0.25">
      <c r="B34" s="97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"/>
    </row>
    <row r="35" spans="2:21" ht="15" x14ac:dyDescent="0.25">
      <c r="B35" s="97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"/>
    </row>
    <row r="36" spans="2:21" ht="15" x14ac:dyDescent="0.25">
      <c r="B36" s="97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"/>
    </row>
    <row r="37" spans="2:21" ht="15" x14ac:dyDescent="0.25">
      <c r="B37" s="97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"/>
    </row>
    <row r="38" spans="2:21" ht="15" x14ac:dyDescent="0.25">
      <c r="B38" s="97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28"/>
      <c r="R38" s="1"/>
    </row>
    <row r="39" spans="2:21" ht="15" x14ac:dyDescent="0.25">
      <c r="B39" s="97">
        <v>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28"/>
      <c r="R39" s="1"/>
    </row>
    <row r="40" spans="2:21" ht="15" x14ac:dyDescent="0.25">
      <c r="B40" s="97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28"/>
      <c r="R40" s="1"/>
    </row>
    <row r="41" spans="2:21" ht="15" x14ac:dyDescent="0.25">
      <c r="B41" s="97">
        <f t="shared" si="0"/>
        <v>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28"/>
      <c r="R41" s="1"/>
    </row>
    <row r="42" spans="2:21" ht="15" x14ac:dyDescent="0.25">
      <c r="B42" s="97">
        <f t="shared" si="0"/>
        <v>40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28"/>
      <c r="R42" s="1"/>
    </row>
    <row r="43" spans="2:21" ht="15" x14ac:dyDescent="0.25">
      <c r="B43" s="97">
        <f t="shared" si="0"/>
        <v>41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28"/>
      <c r="R43" s="1"/>
    </row>
    <row r="44" spans="2:21" ht="15" x14ac:dyDescent="0.25">
      <c r="B44" s="97">
        <f t="shared" si="0"/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28"/>
      <c r="R44" s="1"/>
    </row>
    <row r="45" spans="2:21" ht="15" x14ac:dyDescent="0.25">
      <c r="B45" s="97">
        <v>43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28"/>
      <c r="R45" s="1"/>
    </row>
    <row r="46" spans="2:21" ht="15" x14ac:dyDescent="0.25">
      <c r="B46" s="97">
        <v>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28"/>
      <c r="R46" s="1"/>
    </row>
    <row r="47" spans="2:21" ht="15" x14ac:dyDescent="0.25">
      <c r="B47" s="97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28"/>
      <c r="R47" s="1"/>
    </row>
    <row r="48" spans="2:21" ht="15.75" x14ac:dyDescent="0.25">
      <c r="B48" s="97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28"/>
      <c r="R48" s="1"/>
      <c r="U48" s="121"/>
    </row>
    <row r="49" spans="2:26" ht="15.75" x14ac:dyDescent="0.25">
      <c r="B49" s="97">
        <v>47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28"/>
      <c r="R49" s="1"/>
      <c r="V49" s="122"/>
      <c r="W49" s="122"/>
      <c r="X49" s="122"/>
      <c r="Y49" s="122"/>
    </row>
    <row r="50" spans="2:26" ht="15.75" x14ac:dyDescent="0.25">
      <c r="B50" s="97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28"/>
      <c r="R50" s="1"/>
      <c r="V50" s="123"/>
      <c r="W50" s="121"/>
      <c r="X50" s="121"/>
      <c r="Y50" s="121"/>
    </row>
    <row r="51" spans="2:26" ht="15.75" x14ac:dyDescent="0.25">
      <c r="B51" s="97">
        <v>49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28"/>
      <c r="R51" s="1"/>
      <c r="V51" s="123"/>
      <c r="W51" s="121"/>
      <c r="X51" s="121"/>
      <c r="Y51" s="121"/>
    </row>
    <row r="52" spans="2:26" ht="15.75" x14ac:dyDescent="0.25">
      <c r="B52" s="97">
        <f t="shared" si="0"/>
        <v>50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28"/>
      <c r="R52" s="1"/>
      <c r="Y52" s="121"/>
      <c r="Z52" s="124"/>
    </row>
    <row r="53" spans="2:26" ht="15" x14ac:dyDescent="0.25">
      <c r="B53" s="97">
        <f t="shared" si="0"/>
        <v>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28"/>
      <c r="R53" s="1"/>
    </row>
    <row r="54" spans="2:26" ht="15" x14ac:dyDescent="0.25">
      <c r="B54" s="97">
        <f t="shared" si="0"/>
        <v>52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28"/>
      <c r="R54" s="1"/>
    </row>
    <row r="55" spans="2:26" ht="15" x14ac:dyDescent="0.25">
      <c r="B55" s="97">
        <f t="shared" si="0"/>
        <v>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28"/>
      <c r="R55" s="1"/>
    </row>
    <row r="56" spans="2:26" ht="15.75" x14ac:dyDescent="0.25">
      <c r="B56" s="97">
        <f t="shared" si="0"/>
        <v>54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28"/>
      <c r="R56" s="1"/>
      <c r="U56" s="28" t="s">
        <v>2</v>
      </c>
      <c r="V56" s="29"/>
      <c r="W56" s="29"/>
      <c r="X56" s="90"/>
      <c r="Y56" s="121"/>
      <c r="Z56" s="124"/>
    </row>
    <row r="57" spans="2:26" ht="15" x14ac:dyDescent="0.25">
      <c r="B57" s="97">
        <f t="shared" si="0"/>
        <v>55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28"/>
      <c r="R57" s="1"/>
      <c r="U57" s="79" t="s">
        <v>3</v>
      </c>
      <c r="V57" s="80">
        <f>COUNT(C63:Q63)</f>
        <v>15</v>
      </c>
      <c r="W57" s="29"/>
      <c r="X57" s="91"/>
    </row>
    <row r="58" spans="2:26" ht="15.75" x14ac:dyDescent="0.25">
      <c r="B58" s="97">
        <f t="shared" si="0"/>
        <v>56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28"/>
      <c r="R58" s="1"/>
      <c r="S58" s="1"/>
      <c r="T58" s="1"/>
      <c r="U58" s="79" t="s">
        <v>36</v>
      </c>
      <c r="V58" s="99">
        <f>R64</f>
        <v>161</v>
      </c>
      <c r="W58" s="29"/>
      <c r="X58" s="91"/>
      <c r="Y58" s="126"/>
      <c r="Z58" s="124"/>
    </row>
    <row r="59" spans="2:26" ht="15" x14ac:dyDescent="0.25">
      <c r="B59" s="97"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28"/>
      <c r="R59" s="1"/>
      <c r="S59" s="1"/>
      <c r="T59" s="1"/>
      <c r="U59" s="79"/>
      <c r="V59" s="99"/>
      <c r="W59" s="29"/>
      <c r="X59" s="91"/>
    </row>
    <row r="60" spans="2:26" ht="15" x14ac:dyDescent="0.25">
      <c r="B60" s="97">
        <v>58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28"/>
      <c r="R60" s="1"/>
      <c r="S60" s="1"/>
      <c r="T60" s="1"/>
      <c r="U60" s="79"/>
      <c r="V60" s="99"/>
      <c r="W60" s="29"/>
      <c r="X60" s="91"/>
    </row>
    <row r="61" spans="2:26" ht="15" x14ac:dyDescent="0.25">
      <c r="B61" s="97">
        <v>59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28"/>
      <c r="R61" s="1"/>
      <c r="S61" s="1"/>
      <c r="T61" s="1"/>
      <c r="U61" s="79"/>
      <c r="V61" s="99"/>
      <c r="W61" s="29"/>
      <c r="X61" s="91"/>
    </row>
    <row r="62" spans="2:26" ht="15" x14ac:dyDescent="0.25">
      <c r="B62" s="97">
        <v>60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28"/>
      <c r="R62" s="1"/>
      <c r="T62" s="5"/>
      <c r="U62" s="79" t="s">
        <v>4</v>
      </c>
      <c r="V62" s="80">
        <f>SUM(C63:Q63)</f>
        <v>8</v>
      </c>
      <c r="W62" s="29"/>
      <c r="X62" s="91"/>
    </row>
    <row r="63" spans="2:26" ht="15" x14ac:dyDescent="0.25">
      <c r="B63" s="92" t="s">
        <v>0</v>
      </c>
      <c r="C63" s="82">
        <f t="shared" ref="C63:Q63" si="1">SUM(C3:C62)</f>
        <v>0</v>
      </c>
      <c r="D63" s="82">
        <f t="shared" si="1"/>
        <v>0</v>
      </c>
      <c r="E63" s="82">
        <f t="shared" si="1"/>
        <v>0</v>
      </c>
      <c r="F63" s="82">
        <f t="shared" si="1"/>
        <v>0</v>
      </c>
      <c r="G63" s="82">
        <f t="shared" si="1"/>
        <v>1</v>
      </c>
      <c r="H63" s="82">
        <f t="shared" si="1"/>
        <v>0</v>
      </c>
      <c r="I63" s="82">
        <f t="shared" si="1"/>
        <v>2</v>
      </c>
      <c r="J63" s="82">
        <f t="shared" si="1"/>
        <v>2</v>
      </c>
      <c r="K63" s="82">
        <f t="shared" si="1"/>
        <v>0</v>
      </c>
      <c r="L63" s="82">
        <f t="shared" si="1"/>
        <v>2</v>
      </c>
      <c r="M63" s="82">
        <f t="shared" si="1"/>
        <v>0</v>
      </c>
      <c r="N63" s="82">
        <f t="shared" si="1"/>
        <v>0</v>
      </c>
      <c r="O63" s="82">
        <f t="shared" si="1"/>
        <v>0</v>
      </c>
      <c r="P63" s="82">
        <f t="shared" si="1"/>
        <v>0</v>
      </c>
      <c r="Q63" s="82">
        <f t="shared" si="1"/>
        <v>1</v>
      </c>
      <c r="R63" s="87">
        <f>SUM(C63:Q63)</f>
        <v>8</v>
      </c>
      <c r="S63" s="7"/>
      <c r="T63" s="8"/>
      <c r="U63" s="79" t="s">
        <v>5</v>
      </c>
      <c r="V63" s="81">
        <f>AVERAGE(C63:Q63)</f>
        <v>0.53333333333333333</v>
      </c>
      <c r="W63" s="29"/>
      <c r="X63" s="91"/>
    </row>
    <row r="64" spans="2:26" ht="15" x14ac:dyDescent="0.25">
      <c r="B64" s="92" t="s">
        <v>31</v>
      </c>
      <c r="C64" s="82">
        <f t="shared" ref="C64:Q64" si="2">COUNT(C3:C62)</f>
        <v>12</v>
      </c>
      <c r="D64" s="82">
        <f t="shared" si="2"/>
        <v>12</v>
      </c>
      <c r="E64" s="82">
        <f t="shared" si="2"/>
        <v>12</v>
      </c>
      <c r="F64" s="82">
        <f t="shared" si="2"/>
        <v>12</v>
      </c>
      <c r="G64" s="82">
        <f t="shared" si="2"/>
        <v>11</v>
      </c>
      <c r="H64" s="82">
        <f t="shared" si="2"/>
        <v>10</v>
      </c>
      <c r="I64" s="82">
        <f t="shared" si="2"/>
        <v>12</v>
      </c>
      <c r="J64" s="82">
        <f t="shared" si="2"/>
        <v>12</v>
      </c>
      <c r="K64" s="82">
        <f t="shared" si="2"/>
        <v>10</v>
      </c>
      <c r="L64" s="82">
        <f t="shared" si="2"/>
        <v>12</v>
      </c>
      <c r="M64" s="82">
        <f t="shared" si="2"/>
        <v>6</v>
      </c>
      <c r="N64" s="82">
        <f t="shared" si="2"/>
        <v>10</v>
      </c>
      <c r="O64" s="82">
        <f t="shared" si="2"/>
        <v>11</v>
      </c>
      <c r="P64" s="82">
        <f t="shared" si="2"/>
        <v>9</v>
      </c>
      <c r="Q64" s="82">
        <f t="shared" si="2"/>
        <v>10</v>
      </c>
      <c r="R64" s="87">
        <f>SUM(C64:Q64)</f>
        <v>161</v>
      </c>
      <c r="S64" s="7"/>
      <c r="T64" s="8"/>
      <c r="U64" s="79" t="s">
        <v>35</v>
      </c>
      <c r="V64" s="81">
        <f>AVERAGE(C67:Q67)</f>
        <v>1.0190399570930547E-2</v>
      </c>
      <c r="W64" s="29"/>
      <c r="X64" s="91"/>
    </row>
    <row r="65" spans="1:25" ht="17.25" x14ac:dyDescent="0.25">
      <c r="B65" s="92" t="s">
        <v>32</v>
      </c>
      <c r="C65" s="82">
        <f t="shared" ref="C65:Q65" si="3">C64*4.52</f>
        <v>54.239999999999995</v>
      </c>
      <c r="D65" s="82">
        <f t="shared" si="3"/>
        <v>54.239999999999995</v>
      </c>
      <c r="E65" s="82">
        <f t="shared" si="3"/>
        <v>54.239999999999995</v>
      </c>
      <c r="F65" s="82">
        <f t="shared" si="3"/>
        <v>54.239999999999995</v>
      </c>
      <c r="G65" s="82">
        <f t="shared" si="3"/>
        <v>49.72</v>
      </c>
      <c r="H65" s="82">
        <f t="shared" si="3"/>
        <v>45.199999999999996</v>
      </c>
      <c r="I65" s="82">
        <f t="shared" si="3"/>
        <v>54.239999999999995</v>
      </c>
      <c r="J65" s="82">
        <f t="shared" si="3"/>
        <v>54.239999999999995</v>
      </c>
      <c r="K65" s="82">
        <f t="shared" si="3"/>
        <v>45.199999999999996</v>
      </c>
      <c r="L65" s="82">
        <f t="shared" si="3"/>
        <v>54.239999999999995</v>
      </c>
      <c r="M65" s="82">
        <f t="shared" si="3"/>
        <v>27.119999999999997</v>
      </c>
      <c r="N65" s="82">
        <f t="shared" si="3"/>
        <v>45.199999999999996</v>
      </c>
      <c r="O65" s="82">
        <f t="shared" si="3"/>
        <v>49.72</v>
      </c>
      <c r="P65" s="82">
        <f t="shared" si="3"/>
        <v>40.679999999999993</v>
      </c>
      <c r="Q65" s="82">
        <f t="shared" si="3"/>
        <v>45.199999999999996</v>
      </c>
      <c r="R65" s="82">
        <f>R64*4.52</f>
        <v>727.71999999999991</v>
      </c>
      <c r="S65" s="7"/>
      <c r="T65" s="8"/>
      <c r="U65" s="79" t="s">
        <v>6</v>
      </c>
      <c r="V65" s="100">
        <f>VAR(C67:Q67)</f>
        <v>2.4394356548223519E-4</v>
      </c>
      <c r="W65" s="29"/>
      <c r="X65" s="91"/>
    </row>
    <row r="66" spans="1:25" ht="15" x14ac:dyDescent="0.25">
      <c r="B66" s="92" t="s">
        <v>37</v>
      </c>
      <c r="C66" s="82">
        <f t="shared" ref="C66:R66" si="4">C65/1000000</f>
        <v>5.4239999999999996E-5</v>
      </c>
      <c r="D66" s="82">
        <f t="shared" si="4"/>
        <v>5.4239999999999996E-5</v>
      </c>
      <c r="E66" s="82">
        <f t="shared" si="4"/>
        <v>5.4239999999999996E-5</v>
      </c>
      <c r="F66" s="82">
        <f t="shared" si="4"/>
        <v>5.4239999999999996E-5</v>
      </c>
      <c r="G66" s="82">
        <f t="shared" si="4"/>
        <v>4.9719999999999998E-5</v>
      </c>
      <c r="H66" s="82">
        <f t="shared" si="4"/>
        <v>4.5199999999999994E-5</v>
      </c>
      <c r="I66" s="82">
        <f t="shared" si="4"/>
        <v>5.4239999999999996E-5</v>
      </c>
      <c r="J66" s="82">
        <f t="shared" si="4"/>
        <v>5.4239999999999996E-5</v>
      </c>
      <c r="K66" s="82">
        <f t="shared" si="4"/>
        <v>4.5199999999999994E-5</v>
      </c>
      <c r="L66" s="82">
        <f t="shared" si="4"/>
        <v>5.4239999999999996E-5</v>
      </c>
      <c r="M66" s="82">
        <f t="shared" si="4"/>
        <v>2.7119999999999998E-5</v>
      </c>
      <c r="N66" s="82">
        <f t="shared" si="4"/>
        <v>4.5199999999999994E-5</v>
      </c>
      <c r="O66" s="82">
        <f t="shared" si="4"/>
        <v>4.9719999999999998E-5</v>
      </c>
      <c r="P66" s="82">
        <f t="shared" si="4"/>
        <v>4.067999999999999E-5</v>
      </c>
      <c r="Q66" s="82">
        <f t="shared" si="4"/>
        <v>4.5199999999999994E-5</v>
      </c>
      <c r="R66" s="82">
        <f t="shared" si="4"/>
        <v>7.2771999999999995E-4</v>
      </c>
      <c r="S66" s="7"/>
      <c r="T66" s="8"/>
      <c r="U66" s="79"/>
      <c r="V66" s="100"/>
      <c r="W66" s="29"/>
      <c r="X66" s="91"/>
    </row>
    <row r="67" spans="1:25" ht="15" x14ac:dyDescent="0.25">
      <c r="B67" s="92" t="s">
        <v>33</v>
      </c>
      <c r="C67" s="83">
        <f t="shared" ref="C67:R67" si="5">C63/C65</f>
        <v>0</v>
      </c>
      <c r="D67" s="83">
        <f t="shared" si="5"/>
        <v>0</v>
      </c>
      <c r="E67" s="83">
        <f t="shared" si="5"/>
        <v>0</v>
      </c>
      <c r="F67" s="83">
        <f t="shared" si="5"/>
        <v>0</v>
      </c>
      <c r="G67" s="83">
        <f t="shared" si="5"/>
        <v>2.0112630732099759E-2</v>
      </c>
      <c r="H67" s="83">
        <f t="shared" si="5"/>
        <v>0</v>
      </c>
      <c r="I67" s="83">
        <f t="shared" si="5"/>
        <v>3.6873156342182897E-2</v>
      </c>
      <c r="J67" s="83">
        <f t="shared" si="5"/>
        <v>3.6873156342182897E-2</v>
      </c>
      <c r="K67" s="83">
        <f t="shared" si="5"/>
        <v>0</v>
      </c>
      <c r="L67" s="83">
        <f t="shared" si="5"/>
        <v>3.6873156342182897E-2</v>
      </c>
      <c r="M67" s="83">
        <f t="shared" si="5"/>
        <v>0</v>
      </c>
      <c r="N67" s="83">
        <f t="shared" si="5"/>
        <v>0</v>
      </c>
      <c r="O67" s="83">
        <f t="shared" si="5"/>
        <v>0</v>
      </c>
      <c r="P67" s="83">
        <f t="shared" si="5"/>
        <v>0</v>
      </c>
      <c r="Q67" s="83">
        <f t="shared" si="5"/>
        <v>2.2123893805309738E-2</v>
      </c>
      <c r="R67" s="83">
        <f t="shared" si="5"/>
        <v>1.0993239157917882E-2</v>
      </c>
      <c r="S67" s="10"/>
      <c r="T67" s="11"/>
      <c r="U67" s="79" t="s">
        <v>7</v>
      </c>
      <c r="V67" s="101">
        <f>SQRT(((V64+V64^2/(V64^2/(V65-V64))))/V58)</f>
        <v>1.2309254345229449E-3</v>
      </c>
      <c r="W67" s="29"/>
      <c r="X67" s="91"/>
    </row>
    <row r="68" spans="1:25" ht="15" x14ac:dyDescent="0.25">
      <c r="A68" s="12"/>
      <c r="B68" s="92" t="s">
        <v>34</v>
      </c>
      <c r="C68" s="83">
        <f t="shared" ref="C68:Q68" si="6">DAYS360($A71,C2)</f>
        <v>146</v>
      </c>
      <c r="D68" s="83">
        <f t="shared" si="6"/>
        <v>146</v>
      </c>
      <c r="E68" s="83">
        <f t="shared" si="6"/>
        <v>137</v>
      </c>
      <c r="F68" s="83">
        <f t="shared" si="6"/>
        <v>146</v>
      </c>
      <c r="G68" s="83">
        <f t="shared" si="6"/>
        <v>137</v>
      </c>
      <c r="H68" s="83">
        <f t="shared" si="6"/>
        <v>146</v>
      </c>
      <c r="I68" s="83">
        <f t="shared" si="6"/>
        <v>137</v>
      </c>
      <c r="J68" s="83">
        <f t="shared" si="6"/>
        <v>146</v>
      </c>
      <c r="K68" s="83">
        <f t="shared" si="6"/>
        <v>137</v>
      </c>
      <c r="L68" s="83">
        <f t="shared" si="6"/>
        <v>146</v>
      </c>
      <c r="M68" s="83">
        <f t="shared" si="6"/>
        <v>146</v>
      </c>
      <c r="N68" s="83">
        <f t="shared" si="6"/>
        <v>146</v>
      </c>
      <c r="O68" s="83">
        <f t="shared" si="6"/>
        <v>146</v>
      </c>
      <c r="P68" s="83">
        <f t="shared" si="6"/>
        <v>146</v>
      </c>
      <c r="Q68" s="83">
        <f t="shared" si="6"/>
        <v>146</v>
      </c>
      <c r="R68" s="125">
        <f>AVERAGE(C68:Q68)</f>
        <v>143.6</v>
      </c>
      <c r="S68" s="146"/>
      <c r="T68" s="146"/>
      <c r="X68" s="91"/>
    </row>
    <row r="69" spans="1:25" ht="15.75" thickBot="1" x14ac:dyDescent="0.3">
      <c r="B69" s="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6"/>
      <c r="V69" s="42"/>
      <c r="W69" s="27"/>
      <c r="X69" s="32"/>
    </row>
    <row r="70" spans="1:25" ht="29.25" thickTop="1" thickBot="1" x14ac:dyDescent="0.4">
      <c r="A70" s="14" t="s">
        <v>12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15"/>
      <c r="N70" s="15"/>
      <c r="O70" s="15"/>
      <c r="P70" s="15"/>
      <c r="Q70" s="15"/>
      <c r="T70" s="17"/>
      <c r="U70" s="43" t="s">
        <v>14</v>
      </c>
      <c r="V70" s="44"/>
      <c r="W70" s="45"/>
      <c r="X70" s="46"/>
    </row>
    <row r="71" spans="1:25" ht="19.5" thickTop="1" x14ac:dyDescent="0.3">
      <c r="A71" s="86">
        <v>43066</v>
      </c>
      <c r="B71" s="102" t="s">
        <v>51</v>
      </c>
      <c r="C71" s="176" t="str">
        <f>C1 &amp; "," &amp; H1 &amp; "," &amp; M1</f>
        <v>12aN,12cS,15aS</v>
      </c>
      <c r="D71" s="176"/>
      <c r="E71" s="174" t="str">
        <f>D1 &amp; "," &amp; I1 &amp; "," &amp; N1</f>
        <v>12aS,12dN,15bS</v>
      </c>
      <c r="F71" s="174"/>
      <c r="G71" s="174" t="str">
        <f>E1 &amp; "," &amp; J1 &amp; "," &amp; O1</f>
        <v>12bN,12dS,15cS</v>
      </c>
      <c r="H71" s="174"/>
      <c r="I71" s="174" t="str">
        <f>F1 &amp; "," &amp; K1 &amp; "," &amp; P1</f>
        <v>12bS,12eN,15dS</v>
      </c>
      <c r="J71" s="174"/>
      <c r="K71" s="174" t="str">
        <f>G1 &amp; "," &amp; L1 &amp; "," &amp; Q1</f>
        <v>12cN,12eS,15eS</v>
      </c>
      <c r="L71" s="174"/>
      <c r="M71" s="145"/>
      <c r="N71" s="174"/>
      <c r="O71" s="174"/>
      <c r="P71" s="174"/>
      <c r="Q71" s="174"/>
      <c r="T71" s="21"/>
      <c r="U71" s="52" t="s">
        <v>8</v>
      </c>
      <c r="V71" s="53" t="str">
        <f>+A1</f>
        <v>Blue Hills Ponka</v>
      </c>
      <c r="W71" s="54"/>
      <c r="X71" s="55"/>
    </row>
    <row r="72" spans="1:25" ht="18.75" x14ac:dyDescent="0.3">
      <c r="A72" s="86"/>
      <c r="B72" s="104" t="s">
        <v>39</v>
      </c>
      <c r="C72" s="176">
        <f>C66+ H66 + M66</f>
        <v>1.2655999999999998E-4</v>
      </c>
      <c r="D72" s="176"/>
      <c r="E72" s="174">
        <f>D66+ I66 + N66</f>
        <v>1.5367999999999998E-4</v>
      </c>
      <c r="F72" s="174"/>
      <c r="G72" s="174">
        <f>E66 + J66 + O66</f>
        <v>1.582E-4</v>
      </c>
      <c r="H72" s="174"/>
      <c r="I72" s="174">
        <f>F66+ K66 + P66</f>
        <v>1.4011999999999998E-4</v>
      </c>
      <c r="J72" s="174"/>
      <c r="K72" s="174">
        <f>G66 + L66+ Q66</f>
        <v>1.4915999999999999E-4</v>
      </c>
      <c r="L72" s="174"/>
      <c r="M72" s="145"/>
      <c r="N72" s="174"/>
      <c r="O72" s="174"/>
      <c r="P72" s="174"/>
      <c r="Q72" s="174"/>
      <c r="T72" s="21"/>
      <c r="U72" s="52" t="s">
        <v>9</v>
      </c>
      <c r="V72" s="52">
        <f>A2</f>
        <v>2018</v>
      </c>
      <c r="W72" s="61"/>
      <c r="X72" s="55"/>
    </row>
    <row r="73" spans="1:25" ht="18.75" x14ac:dyDescent="0.3">
      <c r="A73" s="98" t="s">
        <v>11</v>
      </c>
      <c r="B73" s="104" t="s">
        <v>38</v>
      </c>
      <c r="C73" s="174">
        <f>C63 + H63 + M63</f>
        <v>0</v>
      </c>
      <c r="D73" s="174"/>
      <c r="E73" s="174">
        <f>D63 + I63 + N63</f>
        <v>2</v>
      </c>
      <c r="F73" s="174"/>
      <c r="G73" s="174">
        <f>E63 + J63 + O63</f>
        <v>2</v>
      </c>
      <c r="H73" s="174"/>
      <c r="I73" s="174">
        <f>F63 + K63 + P63</f>
        <v>0</v>
      </c>
      <c r="J73" s="174"/>
      <c r="K73" s="174">
        <f>G63 + L63 + Q63</f>
        <v>4</v>
      </c>
      <c r="L73" s="174"/>
      <c r="M73" s="145"/>
      <c r="N73" s="174"/>
      <c r="O73" s="174"/>
      <c r="P73" s="174"/>
      <c r="Q73" s="174"/>
      <c r="T73" s="21"/>
      <c r="U73" s="62" t="s">
        <v>10</v>
      </c>
      <c r="V73" s="109">
        <f>V57</f>
        <v>15</v>
      </c>
      <c r="W73" s="61"/>
      <c r="X73" s="55"/>
    </row>
    <row r="74" spans="1:25" ht="18.75" x14ac:dyDescent="0.3">
      <c r="A74" s="98"/>
      <c r="B74" s="104" t="s">
        <v>40</v>
      </c>
      <c r="C74" s="174">
        <f>AVERAGE(C68,H68,M68)</f>
        <v>146</v>
      </c>
      <c r="D74" s="174"/>
      <c r="E74" s="175">
        <f xml:space="preserve"> AVERAGE(D68, I68, N68)</f>
        <v>143</v>
      </c>
      <c r="F74" s="175"/>
      <c r="G74" s="175">
        <f xml:space="preserve"> AVERAGE(E68, J68, O68)</f>
        <v>143</v>
      </c>
      <c r="H74" s="175"/>
      <c r="I74" s="175">
        <f>AVERAGE(F68, K68, P68)</f>
        <v>143</v>
      </c>
      <c r="J74" s="175"/>
      <c r="K74" s="175">
        <f xml:space="preserve"> AVERAGE(G68, L68, Q68)</f>
        <v>143</v>
      </c>
      <c r="L74" s="175"/>
      <c r="M74" s="144"/>
      <c r="N74" s="175"/>
      <c r="O74" s="175"/>
      <c r="P74" s="175"/>
      <c r="Q74" s="175"/>
      <c r="T74" s="21"/>
      <c r="U74" s="52" t="s">
        <v>30</v>
      </c>
      <c r="V74" s="105">
        <f>R64</f>
        <v>161</v>
      </c>
      <c r="W74" s="61"/>
      <c r="X74" s="55"/>
    </row>
    <row r="75" spans="1:25" ht="18.75" x14ac:dyDescent="0.3">
      <c r="A75" s="98"/>
      <c r="B75" s="94" t="s">
        <v>1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R75" s="16" t="s">
        <v>16</v>
      </c>
      <c r="S75" s="16" t="s">
        <v>15</v>
      </c>
      <c r="T75" s="21"/>
      <c r="U75" s="52" t="s">
        <v>42</v>
      </c>
      <c r="V75" s="105">
        <f>R63</f>
        <v>8</v>
      </c>
      <c r="W75" s="61"/>
      <c r="X75" s="55"/>
    </row>
    <row r="76" spans="1:25" ht="18.75" x14ac:dyDescent="0.3">
      <c r="A76" s="22"/>
      <c r="B76" s="19">
        <v>10.9</v>
      </c>
      <c r="C76" s="171">
        <f>C73/(B76*C72*C74)</f>
        <v>0</v>
      </c>
      <c r="D76" s="172"/>
      <c r="E76" s="171">
        <f>E73/(B76*E72*E74)</f>
        <v>8.349300814521051</v>
      </c>
      <c r="F76" s="172"/>
      <c r="G76" s="171">
        <f>G73/(B76*G72*G74)</f>
        <v>8.1107493626775931</v>
      </c>
      <c r="H76" s="172"/>
      <c r="I76" s="171">
        <f>I73/(B76*I72*I74)</f>
        <v>0</v>
      </c>
      <c r="J76" s="172"/>
      <c r="K76" s="171">
        <f>K73/($B$76*K72*K74)</f>
        <v>17.204619860225193</v>
      </c>
      <c r="L76" s="172"/>
      <c r="M76" s="143"/>
      <c r="N76" s="171"/>
      <c r="O76" s="172"/>
      <c r="P76" s="171"/>
      <c r="Q76" s="172"/>
      <c r="R76" s="20">
        <f>AVERAGE(C76:L76)</f>
        <v>6.7329340074847677</v>
      </c>
      <c r="S76" s="20">
        <f>STDEV(C76:L76)</f>
        <v>7.1559769092812813</v>
      </c>
      <c r="T76" s="21"/>
      <c r="U76" s="52" t="s">
        <v>120</v>
      </c>
      <c r="V76" s="105">
        <v>15.1</v>
      </c>
      <c r="W76" s="61" t="s">
        <v>48</v>
      </c>
      <c r="X76" s="55"/>
    </row>
    <row r="77" spans="1:25" ht="18.75" x14ac:dyDescent="0.3">
      <c r="A77" s="26"/>
      <c r="B77" s="24">
        <v>19.8</v>
      </c>
      <c r="C77" s="171">
        <f>C73/(B77*C74*C72)</f>
        <v>0</v>
      </c>
      <c r="D77" s="172"/>
      <c r="E77" s="171">
        <f>E73/(B77*E72*E74)</f>
        <v>4.5963322665797701</v>
      </c>
      <c r="F77" s="172"/>
      <c r="G77" s="171">
        <f>G73/(B77*G72*G74)</f>
        <v>4.4650084875346341</v>
      </c>
      <c r="H77" s="172"/>
      <c r="I77" s="171">
        <f>I73/(B77*I72*I74)</f>
        <v>0</v>
      </c>
      <c r="J77" s="172"/>
      <c r="K77" s="171">
        <f>K73/($B$77*K72*K74)</f>
        <v>9.4712301250734647</v>
      </c>
      <c r="L77" s="172"/>
      <c r="M77" s="143"/>
      <c r="N77" s="171"/>
      <c r="O77" s="172"/>
      <c r="P77" s="171"/>
      <c r="Q77" s="172"/>
      <c r="R77" s="20">
        <f>AVERAGE(C77:L77)</f>
        <v>3.7065141758375737</v>
      </c>
      <c r="S77" s="20">
        <f>STDEV(C77:L77)</f>
        <v>3.9394014298568676</v>
      </c>
      <c r="T77" s="21"/>
      <c r="U77" s="106" t="s">
        <v>43</v>
      </c>
      <c r="V77" s="63"/>
      <c r="W77" s="61"/>
      <c r="X77" s="55"/>
    </row>
    <row r="78" spans="1:25" ht="18.75" x14ac:dyDescent="0.3">
      <c r="B78" s="19">
        <v>28.7</v>
      </c>
      <c r="C78" s="171">
        <f>C73/(B78*C72*C74)</f>
        <v>0</v>
      </c>
      <c r="D78" s="172"/>
      <c r="E78" s="171">
        <f>E73/(B78*E72*E74)</f>
        <v>3.170988811089877</v>
      </c>
      <c r="F78" s="172"/>
      <c r="G78" s="171">
        <f>G73/(B78*G72*G74)</f>
        <v>3.0803891307730229</v>
      </c>
      <c r="H78" s="172"/>
      <c r="I78" s="171">
        <f>I73/(B78*I72*I74)</f>
        <v>0</v>
      </c>
      <c r="J78" s="172"/>
      <c r="K78" s="171">
        <f>K73/($B$78*K72*K74)</f>
        <v>6.5341587622458066</v>
      </c>
      <c r="L78" s="172"/>
      <c r="M78" s="143"/>
      <c r="N78" s="171"/>
      <c r="O78" s="172"/>
      <c r="P78" s="171"/>
      <c r="Q78" s="172"/>
      <c r="R78" s="20">
        <f>AVERAGE(C78:L78)</f>
        <v>2.5571073408217417</v>
      </c>
      <c r="S78" s="20">
        <f>STDEV(C78:L78)</f>
        <v>2.7177752024796509</v>
      </c>
      <c r="T78" s="21"/>
      <c r="U78" s="62" t="s">
        <v>44</v>
      </c>
      <c r="V78" s="107">
        <f>AVERAGE(C76:L78)</f>
        <v>4.3321851747146942</v>
      </c>
      <c r="W78" s="61" t="s">
        <v>48</v>
      </c>
      <c r="X78" s="110">
        <f>V78/0.386</f>
        <v>11.223277654701279</v>
      </c>
      <c r="Y78" s="110" t="s">
        <v>49</v>
      </c>
    </row>
    <row r="79" spans="1:25" ht="18.75" x14ac:dyDescent="0.3">
      <c r="B79" s="1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0"/>
      <c r="S79" s="20"/>
      <c r="T79" s="21"/>
      <c r="U79" s="71" t="s">
        <v>94</v>
      </c>
      <c r="V79" s="72">
        <f>_xlfn.VAR.S(C76:L78)</f>
        <v>24.498754798432749</v>
      </c>
      <c r="W79" s="61" t="s">
        <v>48</v>
      </c>
      <c r="X79" s="110">
        <f>V79/0.386</f>
        <v>63.46827667987759</v>
      </c>
      <c r="Y79" s="110" t="s">
        <v>49</v>
      </c>
    </row>
    <row r="80" spans="1:25" ht="18.75" x14ac:dyDescent="0.3">
      <c r="B80" s="77" t="s">
        <v>41</v>
      </c>
      <c r="C80" s="173">
        <f t="shared" ref="C80" si="7">AVERAGE(C76:C78)</f>
        <v>0</v>
      </c>
      <c r="D80" s="173"/>
      <c r="E80" s="173">
        <f t="shared" ref="E80" si="8">AVERAGE(E76:E78)</f>
        <v>5.3722072973968986</v>
      </c>
      <c r="F80" s="173"/>
      <c r="G80" s="173">
        <f t="shared" ref="G80" si="9">AVERAGE(G76:G78)</f>
        <v>5.2187156603284164</v>
      </c>
      <c r="H80" s="173"/>
      <c r="I80" s="173">
        <f t="shared" ref="I80" si="10">AVERAGE(I76:I78)</f>
        <v>0</v>
      </c>
      <c r="J80" s="173"/>
      <c r="K80" s="173">
        <f t="shared" ref="K80" si="11">AVERAGE(K76:K78)</f>
        <v>11.070002915848155</v>
      </c>
      <c r="L80" s="173"/>
      <c r="M80" s="142"/>
      <c r="N80" s="173"/>
      <c r="O80" s="173"/>
      <c r="P80" s="173"/>
      <c r="Q80" s="173"/>
      <c r="R80" s="20"/>
      <c r="S80" s="20"/>
      <c r="T80" s="21"/>
      <c r="U80" s="71" t="s">
        <v>46</v>
      </c>
      <c r="V80" s="72">
        <f>MAX(C76:L78)</f>
        <v>17.204619860225193</v>
      </c>
      <c r="W80" s="61" t="s">
        <v>48</v>
      </c>
      <c r="X80" s="110">
        <f>V80/0.386</f>
        <v>44.57155404203418</v>
      </c>
      <c r="Y80" s="110" t="s">
        <v>49</v>
      </c>
    </row>
    <row r="81" spans="1:26" ht="18.75" x14ac:dyDescent="0.3">
      <c r="M81" s="33"/>
      <c r="T81" s="21"/>
      <c r="U81" s="71" t="s">
        <v>47</v>
      </c>
      <c r="V81" s="72">
        <f>MIN(C76:L78)</f>
        <v>0</v>
      </c>
      <c r="W81" s="108" t="s">
        <v>48</v>
      </c>
      <c r="X81" s="110">
        <f>V81/0.386</f>
        <v>0</v>
      </c>
      <c r="Y81" s="110" t="s">
        <v>49</v>
      </c>
    </row>
    <row r="82" spans="1:26" ht="18.75" x14ac:dyDescent="0.3">
      <c r="T82" s="21"/>
      <c r="U82" s="68" t="s">
        <v>53</v>
      </c>
      <c r="V82" s="72">
        <f>COUNT(C76:L78)</f>
        <v>15</v>
      </c>
      <c r="W82" s="61"/>
      <c r="X82" s="55"/>
    </row>
    <row r="83" spans="1:26" ht="18.75" x14ac:dyDescent="0.3">
      <c r="T83" s="21"/>
      <c r="U83" s="66"/>
      <c r="V83" s="72"/>
      <c r="W83" s="61"/>
      <c r="X83" s="61"/>
    </row>
    <row r="84" spans="1:26" ht="18.75" x14ac:dyDescent="0.3">
      <c r="A84" s="18"/>
      <c r="T84" s="21"/>
      <c r="U84" s="68" t="s">
        <v>95</v>
      </c>
      <c r="V84" s="69"/>
      <c r="W84" s="110">
        <f>V78-V87</f>
        <v>1.7565305315349264</v>
      </c>
      <c r="X84" s="110">
        <f>V78+V87</f>
        <v>6.9078398178944624</v>
      </c>
      <c r="Y84" s="111" t="s">
        <v>48</v>
      </c>
      <c r="Z84"/>
    </row>
    <row r="85" spans="1:26" ht="18.75" x14ac:dyDescent="0.3">
      <c r="R85" s="146"/>
      <c r="S85" s="146"/>
      <c r="T85" s="21"/>
      <c r="U85" s="71"/>
      <c r="V85" s="74"/>
      <c r="W85" s="110">
        <f>W84/0.385</f>
        <v>4.5624169650257826</v>
      </c>
      <c r="X85" s="110">
        <f>X84/0.386</f>
        <v>17.895958077446792</v>
      </c>
      <c r="Y85" s="111" t="s">
        <v>49</v>
      </c>
    </row>
    <row r="86" spans="1:26" ht="23.25" x14ac:dyDescent="0.35">
      <c r="R86" s="38"/>
      <c r="S86" s="39"/>
      <c r="T86" s="21"/>
      <c r="U86" s="2" t="s">
        <v>97</v>
      </c>
      <c r="V86" s="18"/>
    </row>
    <row r="87" spans="1:26" ht="23.25" x14ac:dyDescent="0.35">
      <c r="R87" s="39"/>
      <c r="S87" s="41"/>
      <c r="T87" s="21"/>
      <c r="U87" s="2" t="s">
        <v>52</v>
      </c>
      <c r="V87" s="18">
        <f>2.0154*V88</f>
        <v>2.5756546431797678</v>
      </c>
    </row>
    <row r="88" spans="1:26" s="18" customFormat="1" ht="23.2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9"/>
      <c r="S88" s="41"/>
      <c r="T88" s="27"/>
      <c r="U88" s="2" t="s">
        <v>90</v>
      </c>
      <c r="V88" s="18">
        <f>SQRT(V79)/SQRT(V82)</f>
        <v>1.2779868230523805</v>
      </c>
    </row>
    <row r="89" spans="1:26" ht="15" x14ac:dyDescent="0.25">
      <c r="R89" s="48"/>
      <c r="S89" s="49"/>
      <c r="V89" s="18"/>
      <c r="W89" s="31"/>
      <c r="X89" s="31"/>
    </row>
    <row r="90" spans="1:26" ht="17.25" customHeight="1" x14ac:dyDescent="0.25">
      <c r="R90" s="57"/>
      <c r="S90" s="49"/>
      <c r="V90" s="18"/>
      <c r="W90" s="31"/>
      <c r="X90" s="31"/>
    </row>
    <row r="91" spans="1:26" ht="15.75" customHeight="1" x14ac:dyDescent="0.25">
      <c r="R91" s="57"/>
      <c r="S91" s="49"/>
      <c r="U91" s="18"/>
      <c r="V91" s="18"/>
      <c r="W91" s="31"/>
      <c r="X91" s="31"/>
      <c r="Z91" s="36"/>
    </row>
    <row r="92" spans="1:26" ht="15" customHeight="1" x14ac:dyDescent="0.25">
      <c r="M92" s="13"/>
      <c r="N92" s="13"/>
      <c r="O92" s="13"/>
      <c r="P92" s="13"/>
      <c r="Q92" s="13"/>
      <c r="R92" s="57"/>
      <c r="S92" s="49"/>
      <c r="U92" s="121" t="s">
        <v>114</v>
      </c>
    </row>
    <row r="93" spans="1:26" ht="15.75" customHeight="1" x14ac:dyDescent="0.25">
      <c r="R93" s="48"/>
      <c r="S93" s="49"/>
      <c r="V93" s="122" t="s">
        <v>115</v>
      </c>
      <c r="W93" s="122" t="s">
        <v>116</v>
      </c>
      <c r="X93" s="122" t="s">
        <v>117</v>
      </c>
      <c r="Y93" s="122" t="s">
        <v>118</v>
      </c>
    </row>
    <row r="94" spans="1:26" ht="16.5" customHeight="1" x14ac:dyDescent="0.25">
      <c r="R94" s="48"/>
      <c r="S94" s="49"/>
      <c r="T94" s="146"/>
      <c r="V94" s="123">
        <v>42703</v>
      </c>
      <c r="W94" s="121">
        <v>24</v>
      </c>
      <c r="X94" s="121">
        <f>V94-$A$71</f>
        <v>-363</v>
      </c>
      <c r="Y94" s="121">
        <f>W94*X94*$B$77</f>
        <v>-172497.6</v>
      </c>
    </row>
    <row r="95" spans="1:26" ht="16.5" customHeight="1" x14ac:dyDescent="0.35">
      <c r="R95" s="48"/>
      <c r="S95" s="49"/>
      <c r="T95" s="39"/>
      <c r="V95" s="123">
        <v>42704</v>
      </c>
      <c r="W95" s="121">
        <v>17</v>
      </c>
      <c r="X95" s="121">
        <f t="shared" ref="X95:X97" si="12">V95-$A$71</f>
        <v>-362</v>
      </c>
      <c r="Y95" s="121">
        <f t="shared" ref="Y95:Y97" si="13">W95*X95*$B$77</f>
        <v>-121849.20000000001</v>
      </c>
    </row>
    <row r="96" spans="1:26" ht="16.5" customHeight="1" x14ac:dyDescent="0.25">
      <c r="R96" s="48"/>
      <c r="S96" s="49"/>
      <c r="T96" s="41"/>
      <c r="V96" s="123">
        <v>42707</v>
      </c>
      <c r="W96" s="121">
        <v>9</v>
      </c>
      <c r="X96" s="121">
        <f t="shared" si="12"/>
        <v>-359</v>
      </c>
      <c r="Y96" s="121">
        <f t="shared" si="13"/>
        <v>-63973.8</v>
      </c>
    </row>
    <row r="97" spans="1:28" ht="15.75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70"/>
      <c r="N97" s="60"/>
      <c r="O97" s="60"/>
      <c r="P97" s="60"/>
      <c r="Q97" s="60"/>
      <c r="R97" s="48"/>
      <c r="S97" s="49"/>
      <c r="T97" s="41"/>
      <c r="V97" s="123">
        <v>42708</v>
      </c>
      <c r="W97" s="121">
        <v>8</v>
      </c>
      <c r="X97" s="121">
        <f t="shared" si="12"/>
        <v>-358</v>
      </c>
      <c r="Y97" s="121">
        <f t="shared" si="13"/>
        <v>-56707.200000000004</v>
      </c>
    </row>
    <row r="98" spans="1:28" ht="15" x14ac:dyDescent="0.25">
      <c r="A98" s="64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70"/>
      <c r="N98" s="60"/>
      <c r="O98" s="60"/>
      <c r="P98" s="60"/>
      <c r="Q98" s="60"/>
      <c r="R98" s="48"/>
      <c r="S98" s="49"/>
      <c r="T98" s="50"/>
      <c r="U98" s="40"/>
      <c r="W98" s="51"/>
      <c r="X98" s="51"/>
      <c r="Y98" s="51"/>
    </row>
    <row r="99" spans="1:28" ht="15.75" x14ac:dyDescent="0.25">
      <c r="A99" s="64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70"/>
      <c r="N99" s="60"/>
      <c r="O99" s="60"/>
      <c r="P99" s="60"/>
      <c r="Q99" s="60"/>
      <c r="R99" s="48"/>
      <c r="S99" s="49"/>
      <c r="T99" s="50"/>
      <c r="U99" s="40"/>
      <c r="X99" s="121">
        <f>V76*V78*B77*R68</f>
        <v>185995.99349979823</v>
      </c>
      <c r="Y99" s="124" t="s">
        <v>119</v>
      </c>
    </row>
    <row r="100" spans="1:28" ht="15.75" x14ac:dyDescent="0.25">
      <c r="A100" s="6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70"/>
      <c r="N100" s="60"/>
      <c r="O100" s="60"/>
      <c r="P100" s="60"/>
      <c r="Q100" s="60"/>
      <c r="R100" s="48"/>
      <c r="S100" s="49"/>
      <c r="T100" s="50"/>
      <c r="U100" s="40"/>
      <c r="X100" s="121">
        <f>X99-Y97-Y96-Y95-Y94</f>
        <v>601023.79349979828</v>
      </c>
      <c r="Y100" s="124" t="s">
        <v>121</v>
      </c>
    </row>
    <row r="101" spans="1:28" ht="15" x14ac:dyDescent="0.25">
      <c r="A101" s="64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70"/>
      <c r="N101" s="60"/>
      <c r="O101" s="60"/>
      <c r="P101" s="60"/>
      <c r="Q101" s="60"/>
      <c r="R101" s="48"/>
      <c r="S101" s="49"/>
      <c r="T101" s="50"/>
      <c r="U101" s="40"/>
    </row>
    <row r="102" spans="1:28" ht="15.75" x14ac:dyDescent="0.25">
      <c r="A102" s="67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70"/>
      <c r="N102" s="60"/>
      <c r="O102" s="60"/>
      <c r="P102" s="60"/>
      <c r="Q102" s="60"/>
      <c r="R102" s="48"/>
      <c r="S102" s="49"/>
      <c r="T102" s="50"/>
      <c r="U102" s="58"/>
      <c r="X102" s="126">
        <f>X100/(B77*R68*V76)</f>
        <v>13.998937927947555</v>
      </c>
      <c r="Y102" s="124" t="s">
        <v>122</v>
      </c>
    </row>
    <row r="103" spans="1:28" ht="15" x14ac:dyDescent="0.25">
      <c r="A103" s="67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70"/>
      <c r="N103" s="60"/>
      <c r="O103" s="60"/>
      <c r="P103" s="60"/>
      <c r="Q103" s="60"/>
      <c r="R103" s="48"/>
      <c r="S103" s="49"/>
      <c r="T103" s="50"/>
      <c r="U103" s="58"/>
    </row>
    <row r="104" spans="1:28" ht="15" x14ac:dyDescent="0.25">
      <c r="A104" s="73"/>
      <c r="M104" s="70"/>
      <c r="R104" s="48"/>
      <c r="S104" s="49"/>
      <c r="T104" s="50"/>
      <c r="U104" s="58"/>
    </row>
    <row r="105" spans="1:28" x14ac:dyDescent="0.2">
      <c r="A105" s="73"/>
      <c r="B105" s="27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R105" s="48"/>
      <c r="S105" s="49"/>
      <c r="T105" s="50"/>
      <c r="U105" s="65"/>
    </row>
    <row r="106" spans="1:28" s="60" customFormat="1" x14ac:dyDescent="0.2">
      <c r="A106" s="73"/>
      <c r="B106" s="27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2"/>
      <c r="N106" s="2"/>
      <c r="O106" s="2"/>
      <c r="P106" s="2"/>
      <c r="Q106" s="2"/>
      <c r="R106" s="48"/>
      <c r="S106" s="49"/>
      <c r="T106" s="50"/>
      <c r="U106" s="58"/>
      <c r="V106" s="2"/>
      <c r="W106" s="2"/>
      <c r="X106" s="2"/>
      <c r="Y106" s="2"/>
      <c r="Z106" s="2"/>
      <c r="AA106" s="2"/>
      <c r="AB106" s="2"/>
    </row>
    <row r="107" spans="1:28" s="60" customFormat="1" x14ac:dyDescent="0.2">
      <c r="A107" s="7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48"/>
      <c r="S107" s="49"/>
      <c r="T107" s="50"/>
      <c r="U107" s="58"/>
      <c r="V107" s="2"/>
      <c r="W107" s="2" t="s">
        <v>123</v>
      </c>
      <c r="X107" s="2"/>
      <c r="Y107" s="2"/>
      <c r="Z107" s="2"/>
      <c r="AA107" s="2"/>
      <c r="AB107" s="2"/>
    </row>
    <row r="108" spans="1:28" s="60" customFormat="1" x14ac:dyDescent="0.2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8"/>
      <c r="S108" s="49"/>
      <c r="T108" s="50"/>
      <c r="U108" s="58"/>
      <c r="V108" s="59"/>
      <c r="W108" s="51"/>
      <c r="Z108" s="2"/>
      <c r="AA108" s="2"/>
      <c r="AB108" s="2"/>
    </row>
    <row r="109" spans="1:28" s="60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48"/>
      <c r="S109" s="49"/>
      <c r="T109" s="50"/>
      <c r="U109" s="58"/>
      <c r="V109" s="59"/>
      <c r="W109" s="51"/>
      <c r="Z109" s="2"/>
      <c r="AA109" s="2"/>
      <c r="AB109" s="2"/>
    </row>
    <row r="110" spans="1:28" s="60" customFormat="1" x14ac:dyDescent="0.2">
      <c r="A110" s="22"/>
      <c r="B110" s="1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48"/>
      <c r="S110" s="49"/>
      <c r="T110" s="50"/>
      <c r="U110" s="58"/>
      <c r="V110" s="59"/>
      <c r="W110" s="51"/>
    </row>
    <row r="111" spans="1:28" s="60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8"/>
      <c r="S111" s="49"/>
      <c r="T111" s="50"/>
      <c r="U111" s="58"/>
      <c r="V111" s="59"/>
      <c r="W111" s="51"/>
    </row>
    <row r="112" spans="1:28" s="60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8"/>
      <c r="S112" s="49"/>
      <c r="T112" s="50"/>
      <c r="U112" s="58"/>
      <c r="V112" s="59"/>
      <c r="W112" s="51"/>
    </row>
    <row r="113" spans="18:25" x14ac:dyDescent="0.2">
      <c r="R113" s="48"/>
      <c r="S113" s="49"/>
      <c r="T113" s="50"/>
      <c r="U113" s="58"/>
      <c r="V113" s="59"/>
      <c r="W113" s="51"/>
      <c r="X113" s="51"/>
      <c r="Y113" s="51"/>
    </row>
    <row r="114" spans="18:25" x14ac:dyDescent="0.2">
      <c r="R114" s="48"/>
      <c r="S114" s="49"/>
      <c r="T114" s="50"/>
      <c r="U114" s="58"/>
      <c r="V114" s="59"/>
      <c r="W114" s="51"/>
      <c r="X114" s="51"/>
      <c r="Y114" s="51"/>
    </row>
    <row r="115" spans="18:25" x14ac:dyDescent="0.2">
      <c r="R115" s="48"/>
      <c r="S115" s="49"/>
      <c r="T115" s="50"/>
      <c r="U115" s="58"/>
      <c r="V115" s="59"/>
      <c r="W115" s="51"/>
      <c r="X115" s="51"/>
      <c r="Y115" s="51"/>
    </row>
    <row r="116" spans="18:25" x14ac:dyDescent="0.2">
      <c r="R116" s="48"/>
      <c r="S116" s="49"/>
      <c r="T116" s="50"/>
      <c r="U116" s="58"/>
      <c r="V116" s="51"/>
      <c r="W116" s="51"/>
      <c r="X116" s="51"/>
      <c r="Y116" s="51"/>
    </row>
    <row r="117" spans="18:25" x14ac:dyDescent="0.2">
      <c r="R117" s="40"/>
      <c r="S117" s="50"/>
      <c r="T117" s="50"/>
      <c r="U117" s="58"/>
      <c r="V117" s="51"/>
      <c r="W117" s="51"/>
      <c r="X117" s="51"/>
      <c r="Y117" s="51"/>
    </row>
    <row r="118" spans="18:25" x14ac:dyDescent="0.2">
      <c r="R118" s="40"/>
      <c r="S118" s="40"/>
      <c r="T118" s="50"/>
      <c r="U118" s="58"/>
      <c r="V118" s="51"/>
      <c r="W118" s="51"/>
      <c r="X118" s="51"/>
      <c r="Y118" s="51"/>
    </row>
    <row r="119" spans="18:25" x14ac:dyDescent="0.2">
      <c r="T119" s="50"/>
      <c r="U119" s="58"/>
      <c r="V119" s="51"/>
      <c r="W119" s="51"/>
      <c r="X119" s="51"/>
      <c r="Y119" s="51"/>
    </row>
    <row r="120" spans="18:25" x14ac:dyDescent="0.2">
      <c r="T120" s="50"/>
      <c r="U120" s="76"/>
      <c r="V120" s="51"/>
      <c r="W120" s="51"/>
      <c r="X120" s="51"/>
      <c r="Y120" s="51"/>
    </row>
    <row r="121" spans="18:25" x14ac:dyDescent="0.2">
      <c r="T121" s="50"/>
      <c r="U121" s="76"/>
      <c r="V121" s="51"/>
      <c r="W121" s="51"/>
      <c r="X121" s="51"/>
      <c r="Y121" s="51"/>
    </row>
    <row r="122" spans="18:25" x14ac:dyDescent="0.2">
      <c r="T122" s="50"/>
      <c r="U122" s="76"/>
      <c r="V122" s="51"/>
      <c r="W122" s="51"/>
      <c r="X122" s="51"/>
      <c r="Y122" s="51"/>
    </row>
    <row r="123" spans="18:25" x14ac:dyDescent="0.2">
      <c r="T123" s="50"/>
      <c r="U123" s="76"/>
      <c r="V123" s="51"/>
      <c r="W123" s="51"/>
      <c r="X123" s="51"/>
      <c r="Y123" s="51"/>
    </row>
    <row r="124" spans="18:25" x14ac:dyDescent="0.2">
      <c r="T124" s="50"/>
      <c r="U124" s="76"/>
      <c r="V124" s="51"/>
      <c r="W124" s="51"/>
      <c r="X124" s="51"/>
      <c r="Y124" s="51"/>
    </row>
    <row r="125" spans="18:25" x14ac:dyDescent="0.2">
      <c r="T125" s="50"/>
      <c r="U125" s="76"/>
      <c r="V125" s="51"/>
      <c r="W125" s="51"/>
      <c r="X125" s="51"/>
      <c r="Y125" s="51"/>
    </row>
    <row r="126" spans="18:25" x14ac:dyDescent="0.2">
      <c r="T126" s="50"/>
      <c r="U126" s="76"/>
      <c r="V126" s="51"/>
      <c r="W126" s="51"/>
      <c r="X126" s="51"/>
      <c r="Y126" s="51"/>
    </row>
    <row r="127" spans="18:25" x14ac:dyDescent="0.2">
      <c r="T127" s="40"/>
      <c r="U127" s="76"/>
      <c r="V127" s="51"/>
      <c r="W127" s="51"/>
      <c r="X127" s="51"/>
      <c r="Y127" s="51"/>
    </row>
    <row r="128" spans="18:25" x14ac:dyDescent="0.2">
      <c r="U128" s="76"/>
      <c r="V128" s="51"/>
    </row>
    <row r="129" spans="21:22" x14ac:dyDescent="0.2">
      <c r="U129" s="76"/>
      <c r="V129" s="51"/>
    </row>
    <row r="130" spans="21:22" x14ac:dyDescent="0.2">
      <c r="U130" s="76"/>
      <c r="V130" s="51"/>
    </row>
  </sheetData>
  <mergeCells count="56">
    <mergeCell ref="P71:Q71"/>
    <mergeCell ref="C72:D72"/>
    <mergeCell ref="E72:F72"/>
    <mergeCell ref="G72:H72"/>
    <mergeCell ref="I72:J72"/>
    <mergeCell ref="K72:L72"/>
    <mergeCell ref="N72:O72"/>
    <mergeCell ref="P72:Q72"/>
    <mergeCell ref="C71:D71"/>
    <mergeCell ref="E71:F71"/>
    <mergeCell ref="G71:H71"/>
    <mergeCell ref="I71:J71"/>
    <mergeCell ref="K71:L71"/>
    <mergeCell ref="N71:O71"/>
    <mergeCell ref="P73:Q73"/>
    <mergeCell ref="C74:D74"/>
    <mergeCell ref="E74:F74"/>
    <mergeCell ref="G74:H74"/>
    <mergeCell ref="I74:J74"/>
    <mergeCell ref="K74:L74"/>
    <mergeCell ref="N74:O74"/>
    <mergeCell ref="P74:Q74"/>
    <mergeCell ref="C73:D73"/>
    <mergeCell ref="E73:F73"/>
    <mergeCell ref="G73:H73"/>
    <mergeCell ref="I73:J73"/>
    <mergeCell ref="K73:L73"/>
    <mergeCell ref="N73:O73"/>
    <mergeCell ref="P76:Q76"/>
    <mergeCell ref="C77:D77"/>
    <mergeCell ref="E77:F77"/>
    <mergeCell ref="G77:H77"/>
    <mergeCell ref="I77:J77"/>
    <mergeCell ref="K77:L77"/>
    <mergeCell ref="N77:O77"/>
    <mergeCell ref="P77:Q77"/>
    <mergeCell ref="C76:D76"/>
    <mergeCell ref="E76:F76"/>
    <mergeCell ref="G76:H76"/>
    <mergeCell ref="I76:J76"/>
    <mergeCell ref="K76:L76"/>
    <mergeCell ref="N76:O76"/>
    <mergeCell ref="P78:Q78"/>
    <mergeCell ref="C80:D80"/>
    <mergeCell ref="E80:F80"/>
    <mergeCell ref="G80:H80"/>
    <mergeCell ref="I80:J80"/>
    <mergeCell ref="K80:L80"/>
    <mergeCell ref="N80:O80"/>
    <mergeCell ref="P80:Q80"/>
    <mergeCell ref="C78:D78"/>
    <mergeCell ref="E78:F78"/>
    <mergeCell ref="G78:H78"/>
    <mergeCell ref="I78:J78"/>
    <mergeCell ref="K78:L78"/>
    <mergeCell ref="N78:O78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workbookViewId="0">
      <pane xSplit="2" ySplit="3" topLeftCell="T61" activePane="bottomRight" state="frozen"/>
      <selection pane="topRight" activeCell="C1" sqref="C1"/>
      <selection pane="bottomLeft" activeCell="A3" sqref="A3"/>
      <selection pane="bottomRight" activeCell="AB81" sqref="AB81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23" width="11.42578125" style="2" customWidth="1"/>
    <col min="24" max="24" width="10.7109375" style="2" customWidth="1"/>
    <col min="25" max="25" width="9.42578125" style="2" customWidth="1"/>
    <col min="26" max="26" width="2.5703125" style="2" customWidth="1"/>
    <col min="27" max="27" width="35.140625" style="2" customWidth="1"/>
    <col min="28" max="28" width="15.28515625" style="2" bestFit="1" customWidth="1"/>
    <col min="29" max="29" width="12.28515625" style="2" bestFit="1" customWidth="1"/>
    <col min="30" max="30" width="20.42578125" style="2" bestFit="1" customWidth="1"/>
    <col min="31" max="31" width="15.5703125" style="2" bestFit="1" customWidth="1"/>
    <col min="32" max="16384" width="11.42578125" style="2"/>
  </cols>
  <sheetData>
    <row r="1" spans="1:27" ht="15.75" x14ac:dyDescent="0.25">
      <c r="A1" s="95" t="s">
        <v>135</v>
      </c>
      <c r="B1" s="84"/>
      <c r="C1" s="85" t="s">
        <v>186</v>
      </c>
      <c r="D1" s="153" t="s">
        <v>187</v>
      </c>
      <c r="E1" s="85" t="s">
        <v>188</v>
      </c>
      <c r="F1" s="153" t="s">
        <v>189</v>
      </c>
      <c r="G1" s="153" t="s">
        <v>190</v>
      </c>
      <c r="H1" s="153" t="s">
        <v>181</v>
      </c>
      <c r="I1" s="85" t="s">
        <v>182</v>
      </c>
      <c r="J1" s="153" t="s">
        <v>183</v>
      </c>
      <c r="K1" s="85" t="s">
        <v>184</v>
      </c>
      <c r="L1" s="153" t="s">
        <v>185</v>
      </c>
      <c r="M1" s="153" t="s">
        <v>191</v>
      </c>
      <c r="N1" s="85" t="s">
        <v>192</v>
      </c>
      <c r="O1" s="153" t="s">
        <v>193</v>
      </c>
      <c r="P1" s="153" t="s">
        <v>194</v>
      </c>
      <c r="Q1" s="85"/>
      <c r="R1" s="85"/>
      <c r="S1" s="85"/>
      <c r="T1" s="85"/>
      <c r="U1" s="85"/>
      <c r="V1" s="85"/>
      <c r="W1" s="85"/>
      <c r="X1" s="1"/>
      <c r="Y1" s="1"/>
      <c r="Z1" s="1"/>
    </row>
    <row r="2" spans="1:27" ht="15.75" x14ac:dyDescent="0.25">
      <c r="A2" s="95"/>
      <c r="B2" s="84"/>
      <c r="C2" s="85" t="s">
        <v>206</v>
      </c>
      <c r="D2" s="85" t="s">
        <v>206</v>
      </c>
      <c r="E2" s="85" t="s">
        <v>206</v>
      </c>
      <c r="F2" s="85" t="s">
        <v>206</v>
      </c>
      <c r="G2" s="85" t="s">
        <v>206</v>
      </c>
      <c r="H2" s="155" t="s">
        <v>207</v>
      </c>
      <c r="I2" s="155" t="s">
        <v>207</v>
      </c>
      <c r="J2" s="155" t="s">
        <v>207</v>
      </c>
      <c r="K2" s="155" t="s">
        <v>207</v>
      </c>
      <c r="L2" s="155" t="s">
        <v>207</v>
      </c>
      <c r="M2" s="155" t="s">
        <v>207</v>
      </c>
      <c r="N2" s="155" t="s">
        <v>207</v>
      </c>
      <c r="O2" s="155" t="s">
        <v>207</v>
      </c>
      <c r="P2" s="155" t="s">
        <v>207</v>
      </c>
      <c r="Q2" s="85"/>
      <c r="R2" s="85"/>
      <c r="S2" s="85"/>
      <c r="T2" s="85"/>
      <c r="U2" s="85"/>
      <c r="V2" s="85"/>
      <c r="W2" s="85"/>
      <c r="X2" s="1"/>
      <c r="Y2" s="1"/>
      <c r="Z2" s="1"/>
    </row>
    <row r="3" spans="1:27" ht="15" x14ac:dyDescent="0.25">
      <c r="A3" s="96">
        <v>2018</v>
      </c>
      <c r="B3" s="84" t="s">
        <v>13</v>
      </c>
      <c r="C3" s="157">
        <v>43200</v>
      </c>
      <c r="D3" s="156">
        <v>43200</v>
      </c>
      <c r="E3" s="157">
        <v>43201</v>
      </c>
      <c r="F3" s="156">
        <v>43201</v>
      </c>
      <c r="G3" s="156">
        <v>43201</v>
      </c>
      <c r="H3" s="156">
        <v>43158</v>
      </c>
      <c r="I3" s="157">
        <v>43158</v>
      </c>
      <c r="J3" s="156">
        <v>43158</v>
      </c>
      <c r="K3" s="157">
        <v>43160</v>
      </c>
      <c r="L3" s="156">
        <v>43160</v>
      </c>
      <c r="M3" s="156">
        <v>43195</v>
      </c>
      <c r="N3" s="157">
        <v>43195</v>
      </c>
      <c r="O3" s="156">
        <v>43209</v>
      </c>
      <c r="P3" s="156">
        <v>43209</v>
      </c>
      <c r="Q3" s="131"/>
      <c r="R3" s="131"/>
      <c r="S3" s="131"/>
      <c r="T3" s="131"/>
      <c r="U3" s="131"/>
      <c r="V3" s="131"/>
      <c r="W3" s="131"/>
      <c r="X3" s="130"/>
      <c r="Y3" s="130"/>
      <c r="Z3" s="130"/>
      <c r="AA3" s="130"/>
    </row>
    <row r="4" spans="1:27" ht="15" x14ac:dyDescent="0.25">
      <c r="B4" s="97">
        <v>1</v>
      </c>
      <c r="C4" s="4">
        <v>0</v>
      </c>
      <c r="D4" s="152">
        <v>0</v>
      </c>
      <c r="E4" s="4">
        <v>0</v>
      </c>
      <c r="F4" s="152">
        <v>0</v>
      </c>
      <c r="G4" s="152">
        <v>0</v>
      </c>
      <c r="H4" s="152">
        <v>0</v>
      </c>
      <c r="I4" s="4">
        <v>0</v>
      </c>
      <c r="J4" s="152">
        <v>0</v>
      </c>
      <c r="K4" s="4">
        <v>0</v>
      </c>
      <c r="L4" s="152">
        <v>0</v>
      </c>
      <c r="M4" s="152">
        <v>0</v>
      </c>
      <c r="N4" s="4">
        <v>0</v>
      </c>
      <c r="O4" s="152">
        <v>0</v>
      </c>
      <c r="P4" s="152">
        <v>0</v>
      </c>
      <c r="Q4" s="4"/>
      <c r="R4" s="4"/>
      <c r="S4" s="4"/>
      <c r="T4" s="4"/>
      <c r="U4" s="4"/>
      <c r="V4" s="4"/>
      <c r="W4" s="4"/>
      <c r="X4" s="1"/>
    </row>
    <row r="5" spans="1:27" ht="15" x14ac:dyDescent="0.25">
      <c r="B5" s="97">
        <f>1+B4</f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3</v>
      </c>
      <c r="Q5" s="4"/>
      <c r="R5" s="4"/>
      <c r="S5" s="4"/>
      <c r="T5" s="4"/>
      <c r="U5" s="4"/>
      <c r="V5" s="4"/>
      <c r="W5" s="4"/>
      <c r="X5" s="1"/>
    </row>
    <row r="6" spans="1:27" ht="15" x14ac:dyDescent="0.25">
      <c r="B6" s="97">
        <f t="shared" ref="B6:B59" si="0">1+B5</f>
        <v>3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/>
      <c r="R6" s="4"/>
      <c r="S6" s="4"/>
      <c r="T6" s="4"/>
      <c r="U6" s="4"/>
      <c r="V6" s="4"/>
      <c r="W6" s="4"/>
      <c r="X6" s="1"/>
    </row>
    <row r="7" spans="1:27" ht="15" x14ac:dyDescent="0.25">
      <c r="B7" s="97">
        <f t="shared" si="0"/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/>
      <c r="R7" s="4"/>
      <c r="S7" s="4"/>
      <c r="T7" s="4"/>
      <c r="U7" s="4"/>
      <c r="V7" s="4"/>
      <c r="W7" s="4"/>
      <c r="X7" s="1"/>
    </row>
    <row r="8" spans="1:27" ht="15" x14ac:dyDescent="0.25">
      <c r="B8" s="97">
        <f t="shared" si="0"/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0</v>
      </c>
      <c r="P8" s="4">
        <v>0</v>
      </c>
      <c r="Q8" s="4"/>
      <c r="R8" s="4"/>
      <c r="S8" s="4"/>
      <c r="T8" s="4"/>
      <c r="U8" s="4"/>
      <c r="V8" s="4"/>
      <c r="W8" s="4"/>
      <c r="X8" s="1"/>
    </row>
    <row r="9" spans="1:27" ht="15" x14ac:dyDescent="0.25">
      <c r="B9" s="97">
        <f t="shared" si="0"/>
        <v>6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/>
      <c r="R9" s="4"/>
      <c r="S9" s="4"/>
      <c r="T9" s="4"/>
      <c r="U9" s="4"/>
      <c r="V9" s="4"/>
      <c r="W9" s="4"/>
      <c r="X9" s="1"/>
    </row>
    <row r="10" spans="1:27" ht="15" x14ac:dyDescent="0.25">
      <c r="B10" s="97">
        <f t="shared" si="0"/>
        <v>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/>
      <c r="R10" s="4"/>
      <c r="S10" s="4"/>
      <c r="T10" s="4"/>
      <c r="U10" s="4"/>
      <c r="V10" s="4"/>
      <c r="W10" s="4"/>
      <c r="X10" s="1"/>
    </row>
    <row r="11" spans="1:27" ht="15" x14ac:dyDescent="0.25">
      <c r="B11" s="97">
        <f t="shared" si="0"/>
        <v>8</v>
      </c>
      <c r="C11" s="4">
        <v>0</v>
      </c>
      <c r="D11" s="4">
        <v>0</v>
      </c>
      <c r="E11" s="4">
        <v>0</v>
      </c>
      <c r="F11" s="4">
        <v>0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/>
      <c r="R11" s="4"/>
      <c r="S11" s="4"/>
      <c r="T11" s="4"/>
      <c r="U11" s="4"/>
      <c r="V11" s="4"/>
      <c r="W11" s="4"/>
      <c r="X11" s="1"/>
    </row>
    <row r="12" spans="1:27" ht="15" x14ac:dyDescent="0.25">
      <c r="B12" s="97">
        <f t="shared" si="0"/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/>
      <c r="R12" s="4"/>
      <c r="S12" s="4"/>
      <c r="T12" s="4"/>
      <c r="U12" s="4"/>
      <c r="V12" s="4"/>
      <c r="W12" s="4"/>
      <c r="X12" s="1"/>
    </row>
    <row r="13" spans="1:27" ht="15" x14ac:dyDescent="0.25">
      <c r="B13" s="97">
        <f t="shared" si="0"/>
        <v>10</v>
      </c>
      <c r="C13" s="4">
        <v>0</v>
      </c>
      <c r="D13" s="4">
        <v>1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/>
      <c r="R13" s="4"/>
      <c r="S13" s="4"/>
      <c r="T13" s="4"/>
      <c r="U13" s="4"/>
      <c r="V13" s="4"/>
      <c r="W13" s="4"/>
      <c r="X13" s="1"/>
    </row>
    <row r="14" spans="1:27" ht="15" x14ac:dyDescent="0.25">
      <c r="B14" s="97">
        <f t="shared" si="0"/>
        <v>11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/>
      <c r="R14" s="4"/>
      <c r="S14" s="4"/>
      <c r="T14" s="4"/>
      <c r="U14" s="4"/>
      <c r="V14" s="4"/>
      <c r="W14" s="4"/>
      <c r="X14" s="1"/>
    </row>
    <row r="15" spans="1:27" ht="15" x14ac:dyDescent="0.25">
      <c r="B15" s="97">
        <f t="shared" si="0"/>
        <v>12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/>
      <c r="R15" s="4"/>
      <c r="S15" s="4"/>
      <c r="T15" s="4"/>
      <c r="U15" s="4"/>
      <c r="V15" s="4"/>
      <c r="W15" s="4"/>
      <c r="X15" s="1"/>
    </row>
    <row r="16" spans="1:27" ht="15" x14ac:dyDescent="0.25">
      <c r="B16" s="97">
        <f t="shared" si="0"/>
        <v>13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/>
      <c r="R16" s="4"/>
      <c r="S16" s="4"/>
      <c r="T16" s="4"/>
      <c r="U16" s="4"/>
      <c r="V16" s="4"/>
      <c r="W16" s="4"/>
      <c r="X16" s="1"/>
    </row>
    <row r="17" spans="2:24" ht="15" x14ac:dyDescent="0.25">
      <c r="B17" s="97">
        <f t="shared" si="0"/>
        <v>14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</v>
      </c>
      <c r="O17" s="4">
        <v>0</v>
      </c>
      <c r="P17" s="4">
        <v>0</v>
      </c>
      <c r="Q17" s="4"/>
      <c r="R17" s="4"/>
      <c r="S17" s="4"/>
      <c r="T17" s="4"/>
      <c r="U17" s="4"/>
      <c r="V17" s="4"/>
      <c r="W17" s="4"/>
      <c r="X17" s="1"/>
    </row>
    <row r="18" spans="2:24" ht="15" x14ac:dyDescent="0.25">
      <c r="B18" s="97">
        <f t="shared" si="0"/>
        <v>15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3</v>
      </c>
      <c r="O18" s="4">
        <v>0</v>
      </c>
      <c r="P18" s="4">
        <v>0</v>
      </c>
      <c r="Q18" s="4"/>
      <c r="R18" s="4"/>
      <c r="S18" s="4"/>
      <c r="T18" s="4"/>
      <c r="U18" s="4"/>
      <c r="V18" s="4"/>
      <c r="W18" s="4"/>
      <c r="X18" s="1"/>
    </row>
    <row r="19" spans="2:24" ht="15" x14ac:dyDescent="0.25">
      <c r="B19" s="97">
        <f t="shared" si="0"/>
        <v>16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/>
      <c r="R19" s="4"/>
      <c r="S19" s="4"/>
      <c r="T19" s="4"/>
      <c r="U19" s="4"/>
      <c r="V19" s="4"/>
      <c r="W19" s="4"/>
      <c r="X19" s="1"/>
    </row>
    <row r="20" spans="2:24" ht="15" x14ac:dyDescent="0.25">
      <c r="B20" s="97">
        <f t="shared" si="0"/>
        <v>17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/>
      <c r="R20" s="4"/>
      <c r="S20" s="4"/>
      <c r="T20" s="4"/>
      <c r="U20" s="4"/>
      <c r="V20" s="4"/>
      <c r="W20" s="4"/>
      <c r="X20" s="1"/>
    </row>
    <row r="21" spans="2:24" ht="15" x14ac:dyDescent="0.25">
      <c r="B21" s="97">
        <f t="shared" si="0"/>
        <v>18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/>
      <c r="R21" s="4"/>
      <c r="S21" s="4"/>
      <c r="T21" s="4"/>
      <c r="U21" s="4"/>
      <c r="V21" s="4"/>
      <c r="W21" s="4"/>
      <c r="X21" s="1"/>
    </row>
    <row r="22" spans="2:24" ht="15" x14ac:dyDescent="0.25">
      <c r="B22" s="97">
        <f t="shared" si="0"/>
        <v>19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/>
      <c r="R22" s="4"/>
      <c r="S22" s="4"/>
      <c r="T22" s="4"/>
      <c r="U22" s="4"/>
      <c r="V22" s="4"/>
      <c r="W22" s="4"/>
      <c r="X22" s="1"/>
    </row>
    <row r="23" spans="2:24" ht="15" x14ac:dyDescent="0.25">
      <c r="B23" s="97">
        <f t="shared" si="0"/>
        <v>20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/>
      <c r="R23" s="4"/>
      <c r="S23" s="4"/>
      <c r="T23" s="4"/>
      <c r="U23" s="4"/>
      <c r="V23" s="4"/>
      <c r="W23" s="4"/>
      <c r="X23" s="1"/>
    </row>
    <row r="24" spans="2:24" ht="15" x14ac:dyDescent="0.25">
      <c r="B24" s="97">
        <f t="shared" si="0"/>
        <v>21</v>
      </c>
      <c r="C24" s="4">
        <v>1</v>
      </c>
      <c r="D24" s="4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1</v>
      </c>
      <c r="P24" s="4">
        <v>0</v>
      </c>
      <c r="Q24" s="4"/>
      <c r="R24" s="4"/>
      <c r="S24" s="4"/>
      <c r="T24" s="4"/>
      <c r="U24" s="4"/>
      <c r="V24" s="4"/>
      <c r="W24" s="4"/>
      <c r="X24" s="1"/>
    </row>
    <row r="25" spans="2:24" ht="15" x14ac:dyDescent="0.25">
      <c r="B25" s="97">
        <f t="shared" si="0"/>
        <v>22</v>
      </c>
      <c r="C25" s="4">
        <v>0</v>
      </c>
      <c r="D25" s="4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1</v>
      </c>
      <c r="P25" s="4">
        <v>0</v>
      </c>
      <c r="Q25" s="4"/>
      <c r="R25" s="4"/>
      <c r="S25" s="4"/>
      <c r="T25" s="4"/>
      <c r="U25" s="4"/>
      <c r="V25" s="4"/>
      <c r="W25" s="4"/>
      <c r="X25" s="1"/>
    </row>
    <row r="26" spans="2:24" ht="15" x14ac:dyDescent="0.25">
      <c r="B26" s="97">
        <f t="shared" si="0"/>
        <v>23</v>
      </c>
      <c r="C26" s="4">
        <v>0</v>
      </c>
      <c r="D26" s="4"/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/>
      <c r="O26" s="4">
        <v>0</v>
      </c>
      <c r="P26" s="4">
        <v>0</v>
      </c>
      <c r="Q26" s="4"/>
      <c r="R26" s="4"/>
      <c r="S26" s="4"/>
      <c r="T26" s="4"/>
      <c r="U26" s="4"/>
      <c r="V26" s="4"/>
      <c r="W26" s="4"/>
      <c r="X26" s="1"/>
    </row>
    <row r="27" spans="2:24" ht="15" x14ac:dyDescent="0.25">
      <c r="B27" s="97">
        <f t="shared" si="0"/>
        <v>24</v>
      </c>
      <c r="C27" s="4"/>
      <c r="D27" s="4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  <c r="O27" s="4">
        <v>0</v>
      </c>
      <c r="P27" s="4">
        <v>0</v>
      </c>
      <c r="Q27" s="4"/>
      <c r="R27" s="4"/>
      <c r="S27" s="4"/>
      <c r="T27" s="4"/>
      <c r="U27" s="4"/>
      <c r="V27" s="4"/>
      <c r="W27" s="4"/>
      <c r="X27" s="1"/>
    </row>
    <row r="28" spans="2:24" ht="15" x14ac:dyDescent="0.25">
      <c r="B28" s="97">
        <v>25</v>
      </c>
      <c r="C28" s="4"/>
      <c r="D28" s="4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/>
      <c r="O28" s="4">
        <v>0</v>
      </c>
      <c r="P28" s="4">
        <v>0</v>
      </c>
      <c r="Q28" s="4"/>
      <c r="R28" s="4"/>
      <c r="S28" s="4"/>
      <c r="T28" s="4"/>
      <c r="U28" s="4"/>
      <c r="V28" s="4"/>
      <c r="W28" s="4"/>
      <c r="X28" s="1"/>
    </row>
    <row r="29" spans="2:24" ht="15" x14ac:dyDescent="0.25">
      <c r="B29" s="97">
        <v>26</v>
      </c>
      <c r="C29" s="4"/>
      <c r="D29" s="4"/>
      <c r="E29" s="4">
        <v>0</v>
      </c>
      <c r="F29" s="4"/>
      <c r="G29" s="4"/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/>
      <c r="N29" s="4"/>
      <c r="O29" s="4">
        <v>0</v>
      </c>
      <c r="P29" s="4">
        <v>0</v>
      </c>
      <c r="Q29" s="4"/>
      <c r="R29" s="4"/>
      <c r="S29" s="4"/>
      <c r="T29" s="4"/>
      <c r="U29" s="4"/>
      <c r="V29" s="4"/>
      <c r="W29" s="4"/>
      <c r="X29" s="1"/>
    </row>
    <row r="30" spans="2:24" ht="15" x14ac:dyDescent="0.25">
      <c r="B30" s="97">
        <v>27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"/>
    </row>
    <row r="31" spans="2:24" ht="15" x14ac:dyDescent="0.25">
      <c r="B31" s="97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"/>
    </row>
    <row r="32" spans="2:24" ht="15" x14ac:dyDescent="0.25">
      <c r="B32" s="97">
        <v>29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"/>
    </row>
    <row r="33" spans="2:24" ht="15" x14ac:dyDescent="0.25">
      <c r="B33" s="97">
        <v>30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"/>
    </row>
    <row r="34" spans="2:24" ht="15" x14ac:dyDescent="0.25">
      <c r="B34" s="97">
        <v>31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"/>
    </row>
    <row r="35" spans="2:24" ht="15" x14ac:dyDescent="0.25">
      <c r="B35" s="97">
        <v>32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"/>
    </row>
    <row r="36" spans="2:24" ht="15" x14ac:dyDescent="0.25">
      <c r="B36" s="97">
        <v>33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"/>
    </row>
    <row r="37" spans="2:24" ht="15" x14ac:dyDescent="0.25">
      <c r="B37" s="97">
        <v>34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"/>
    </row>
    <row r="38" spans="2:24" ht="15" x14ac:dyDescent="0.25">
      <c r="B38" s="97">
        <v>35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"/>
    </row>
    <row r="39" spans="2:24" ht="15" x14ac:dyDescent="0.25">
      <c r="B39" s="97">
        <v>36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"/>
    </row>
    <row r="40" spans="2:24" ht="15" x14ac:dyDescent="0.25">
      <c r="B40" s="97">
        <v>37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"/>
    </row>
    <row r="41" spans="2:24" ht="15" x14ac:dyDescent="0.25">
      <c r="B41" s="97">
        <v>38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"/>
    </row>
    <row r="42" spans="2:24" ht="15" x14ac:dyDescent="0.25">
      <c r="B42" s="97">
        <f t="shared" si="0"/>
        <v>39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"/>
    </row>
    <row r="43" spans="2:24" ht="15" x14ac:dyDescent="0.25">
      <c r="B43" s="97">
        <f t="shared" si="0"/>
        <v>40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"/>
    </row>
    <row r="44" spans="2:24" ht="15" x14ac:dyDescent="0.25">
      <c r="B44" s="97">
        <f t="shared" si="0"/>
        <v>41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"/>
    </row>
    <row r="45" spans="2:24" ht="15" x14ac:dyDescent="0.25">
      <c r="B45" s="97">
        <f t="shared" si="0"/>
        <v>42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"/>
    </row>
    <row r="46" spans="2:24" ht="15" x14ac:dyDescent="0.25">
      <c r="B46" s="97">
        <v>43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"/>
    </row>
    <row r="47" spans="2:24" ht="15" x14ac:dyDescent="0.25">
      <c r="B47" s="97">
        <v>44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"/>
    </row>
    <row r="48" spans="2:24" ht="15" x14ac:dyDescent="0.25">
      <c r="B48" s="97">
        <v>45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"/>
    </row>
    <row r="49" spans="2:32" ht="15.75" x14ac:dyDescent="0.25">
      <c r="B49" s="97">
        <v>46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"/>
      <c r="AA49" s="121"/>
    </row>
    <row r="50" spans="2:32" ht="15.75" x14ac:dyDescent="0.25">
      <c r="B50" s="97">
        <v>47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"/>
      <c r="AB50" s="122"/>
      <c r="AC50" s="122"/>
      <c r="AD50" s="122"/>
      <c r="AE50" s="122"/>
    </row>
    <row r="51" spans="2:32" ht="15.75" x14ac:dyDescent="0.25">
      <c r="B51" s="97">
        <v>48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"/>
      <c r="AB51" s="123"/>
      <c r="AC51" s="121"/>
      <c r="AD51" s="121"/>
      <c r="AE51" s="121"/>
    </row>
    <row r="52" spans="2:32" ht="15.75" x14ac:dyDescent="0.25">
      <c r="B52" s="97">
        <v>49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"/>
      <c r="AB52" s="123"/>
      <c r="AC52" s="121"/>
      <c r="AD52" s="121"/>
      <c r="AE52" s="121"/>
    </row>
    <row r="53" spans="2:32" ht="15.75" x14ac:dyDescent="0.25">
      <c r="B53" s="97">
        <f t="shared" si="0"/>
        <v>50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"/>
      <c r="AE53" s="121"/>
      <c r="AF53" s="124"/>
    </row>
    <row r="54" spans="2:32" ht="15" x14ac:dyDescent="0.25">
      <c r="B54" s="97">
        <f t="shared" si="0"/>
        <v>51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"/>
    </row>
    <row r="55" spans="2:32" ht="15" x14ac:dyDescent="0.25">
      <c r="B55" s="97">
        <f t="shared" si="0"/>
        <v>52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"/>
    </row>
    <row r="56" spans="2:32" ht="15" x14ac:dyDescent="0.25">
      <c r="B56" s="97">
        <f t="shared" si="0"/>
        <v>53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"/>
    </row>
    <row r="57" spans="2:32" ht="15.75" x14ac:dyDescent="0.25">
      <c r="B57" s="97">
        <f t="shared" si="0"/>
        <v>54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"/>
      <c r="AA57" s="28" t="s">
        <v>2</v>
      </c>
      <c r="AB57" s="29"/>
      <c r="AC57" s="29"/>
      <c r="AD57" s="90"/>
      <c r="AE57" s="121"/>
      <c r="AF57" s="124"/>
    </row>
    <row r="58" spans="2:32" ht="15" x14ac:dyDescent="0.25">
      <c r="B58" s="97">
        <f t="shared" si="0"/>
        <v>55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"/>
      <c r="AA58" s="79" t="s">
        <v>3</v>
      </c>
      <c r="AB58" s="80">
        <f>COUNT(C64:W64)</f>
        <v>14</v>
      </c>
      <c r="AC58" s="29"/>
      <c r="AD58" s="91"/>
    </row>
    <row r="59" spans="2:32" ht="15.75" x14ac:dyDescent="0.25">
      <c r="B59" s="97">
        <f t="shared" si="0"/>
        <v>56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"/>
      <c r="Y59" s="1"/>
      <c r="Z59" s="1"/>
      <c r="AA59" s="79" t="s">
        <v>36</v>
      </c>
      <c r="AB59" s="99">
        <f>X65</f>
        <v>347</v>
      </c>
      <c r="AC59" s="29"/>
      <c r="AD59" s="91"/>
      <c r="AE59" s="126"/>
      <c r="AF59" s="124"/>
    </row>
    <row r="60" spans="2:32" ht="15" x14ac:dyDescent="0.25">
      <c r="B60" s="97">
        <v>57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"/>
      <c r="Y60" s="1"/>
      <c r="Z60" s="1"/>
      <c r="AA60" s="79"/>
      <c r="AB60" s="99"/>
      <c r="AC60" s="29"/>
      <c r="AD60" s="91"/>
    </row>
    <row r="61" spans="2:32" ht="15" x14ac:dyDescent="0.25">
      <c r="B61" s="97">
        <v>58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"/>
      <c r="Y61" s="1"/>
      <c r="Z61" s="1"/>
      <c r="AA61" s="79"/>
      <c r="AB61" s="99"/>
      <c r="AC61" s="29"/>
      <c r="AD61" s="91"/>
    </row>
    <row r="62" spans="2:32" ht="15" x14ac:dyDescent="0.25">
      <c r="B62" s="97">
        <v>59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"/>
      <c r="Y62" s="1"/>
      <c r="Z62" s="1"/>
      <c r="AA62" s="79"/>
      <c r="AB62" s="99"/>
      <c r="AC62" s="29"/>
      <c r="AD62" s="91"/>
    </row>
    <row r="63" spans="2:32" ht="15" x14ac:dyDescent="0.25">
      <c r="B63" s="97">
        <v>60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"/>
      <c r="Z63" s="5"/>
      <c r="AA63" s="79" t="s">
        <v>4</v>
      </c>
      <c r="AB63" s="80">
        <f>SUM(C64:W64)</f>
        <v>35</v>
      </c>
      <c r="AC63" s="29"/>
      <c r="AD63" s="91"/>
    </row>
    <row r="64" spans="2:32" ht="15" x14ac:dyDescent="0.25">
      <c r="B64" s="92" t="s">
        <v>0</v>
      </c>
      <c r="C64" s="82">
        <f t="shared" ref="C64:P64" si="1">SUM(C4:C63)</f>
        <v>5</v>
      </c>
      <c r="D64" s="82">
        <f t="shared" si="1"/>
        <v>2</v>
      </c>
      <c r="E64" s="82">
        <f t="shared" si="1"/>
        <v>1</v>
      </c>
      <c r="F64" s="82">
        <f t="shared" si="1"/>
        <v>0</v>
      </c>
      <c r="G64" s="82">
        <f t="shared" si="1"/>
        <v>5</v>
      </c>
      <c r="H64" s="82">
        <f t="shared" si="1"/>
        <v>0</v>
      </c>
      <c r="I64" s="82">
        <f t="shared" si="1"/>
        <v>2</v>
      </c>
      <c r="J64" s="82">
        <f t="shared" si="1"/>
        <v>2</v>
      </c>
      <c r="K64" s="82">
        <f t="shared" si="1"/>
        <v>0</v>
      </c>
      <c r="L64" s="82">
        <f t="shared" si="1"/>
        <v>1</v>
      </c>
      <c r="M64" s="82">
        <f t="shared" si="1"/>
        <v>1</v>
      </c>
      <c r="N64" s="82">
        <f t="shared" si="1"/>
        <v>10</v>
      </c>
      <c r="O64" s="82">
        <f t="shared" si="1"/>
        <v>3</v>
      </c>
      <c r="P64" s="82">
        <f t="shared" si="1"/>
        <v>3</v>
      </c>
      <c r="Q64" s="82"/>
      <c r="R64" s="82"/>
      <c r="S64" s="82"/>
      <c r="T64" s="82"/>
      <c r="U64" s="82"/>
      <c r="V64" s="82"/>
      <c r="W64" s="82"/>
      <c r="X64" s="87">
        <f>SUM(C64:W64)</f>
        <v>35</v>
      </c>
      <c r="Y64" s="7"/>
      <c r="Z64" s="8"/>
      <c r="AA64" s="79" t="s">
        <v>5</v>
      </c>
      <c r="AB64" s="81">
        <f>AVERAGE(C64:W64)</f>
        <v>2.5</v>
      </c>
      <c r="AC64" s="29"/>
      <c r="AD64" s="91"/>
    </row>
    <row r="65" spans="1:31" ht="15" x14ac:dyDescent="0.25">
      <c r="B65" s="92" t="s">
        <v>31</v>
      </c>
      <c r="C65" s="82">
        <f t="shared" ref="C65:P65" si="2">COUNT(C4:C63)</f>
        <v>23</v>
      </c>
      <c r="D65" s="82">
        <f t="shared" si="2"/>
        <v>19</v>
      </c>
      <c r="E65" s="82">
        <f t="shared" si="2"/>
        <v>26</v>
      </c>
      <c r="F65" s="82">
        <f t="shared" si="2"/>
        <v>25</v>
      </c>
      <c r="G65" s="82">
        <f t="shared" si="2"/>
        <v>25</v>
      </c>
      <c r="H65" s="82">
        <f t="shared" si="2"/>
        <v>26</v>
      </c>
      <c r="I65" s="82">
        <f t="shared" si="2"/>
        <v>26</v>
      </c>
      <c r="J65" s="82">
        <f t="shared" si="2"/>
        <v>26</v>
      </c>
      <c r="K65" s="82">
        <f t="shared" si="2"/>
        <v>26</v>
      </c>
      <c r="L65" s="82">
        <f t="shared" si="2"/>
        <v>26</v>
      </c>
      <c r="M65" s="82">
        <f t="shared" si="2"/>
        <v>25</v>
      </c>
      <c r="N65" s="82">
        <f t="shared" si="2"/>
        <v>22</v>
      </c>
      <c r="O65" s="82">
        <f t="shared" si="2"/>
        <v>26</v>
      </c>
      <c r="P65" s="82">
        <f t="shared" si="2"/>
        <v>26</v>
      </c>
      <c r="Q65" s="82"/>
      <c r="R65" s="82"/>
      <c r="S65" s="82"/>
      <c r="T65" s="82"/>
      <c r="U65" s="82"/>
      <c r="V65" s="82"/>
      <c r="W65" s="82"/>
      <c r="X65" s="87">
        <f>SUM(C65:W65)</f>
        <v>347</v>
      </c>
      <c r="Y65" s="7"/>
      <c r="Z65" s="8"/>
      <c r="AA65" s="79" t="s">
        <v>35</v>
      </c>
      <c r="AB65" s="81">
        <f>AVERAGE(C68:W68)</f>
        <v>2.3368179177093544E-2</v>
      </c>
      <c r="AC65" s="29"/>
      <c r="AD65" s="91"/>
    </row>
    <row r="66" spans="1:31" ht="17.25" x14ac:dyDescent="0.25">
      <c r="B66" s="92" t="s">
        <v>32</v>
      </c>
      <c r="C66" s="82">
        <f t="shared" ref="C66:P66" si="3">C65*4.52</f>
        <v>103.96</v>
      </c>
      <c r="D66" s="82">
        <f t="shared" si="3"/>
        <v>85.88</v>
      </c>
      <c r="E66" s="82">
        <f t="shared" si="3"/>
        <v>117.51999999999998</v>
      </c>
      <c r="F66" s="82">
        <f t="shared" si="3"/>
        <v>112.99999999999999</v>
      </c>
      <c r="G66" s="82">
        <f t="shared" si="3"/>
        <v>112.99999999999999</v>
      </c>
      <c r="H66" s="82">
        <f t="shared" si="3"/>
        <v>117.51999999999998</v>
      </c>
      <c r="I66" s="82">
        <f t="shared" si="3"/>
        <v>117.51999999999998</v>
      </c>
      <c r="J66" s="82">
        <f t="shared" si="3"/>
        <v>117.51999999999998</v>
      </c>
      <c r="K66" s="82">
        <f t="shared" si="3"/>
        <v>117.51999999999998</v>
      </c>
      <c r="L66" s="82">
        <f t="shared" si="3"/>
        <v>117.51999999999998</v>
      </c>
      <c r="M66" s="82">
        <f t="shared" si="3"/>
        <v>112.99999999999999</v>
      </c>
      <c r="N66" s="82">
        <f t="shared" si="3"/>
        <v>99.44</v>
      </c>
      <c r="O66" s="82">
        <f t="shared" si="3"/>
        <v>117.51999999999998</v>
      </c>
      <c r="P66" s="82">
        <f t="shared" si="3"/>
        <v>117.51999999999998</v>
      </c>
      <c r="Q66" s="82"/>
      <c r="R66" s="82"/>
      <c r="S66" s="82"/>
      <c r="T66" s="82"/>
      <c r="U66" s="82"/>
      <c r="V66" s="82"/>
      <c r="W66" s="82"/>
      <c r="X66" s="82">
        <f>X65*4.52</f>
        <v>1568.4399999999998</v>
      </c>
      <c r="Y66" s="7"/>
      <c r="Z66" s="8"/>
      <c r="AA66" s="79" t="s">
        <v>6</v>
      </c>
      <c r="AB66" s="100">
        <f>VAR(C68:W68)</f>
        <v>7.2207813441671563E-4</v>
      </c>
      <c r="AC66" s="29"/>
      <c r="AD66" s="91"/>
    </row>
    <row r="67" spans="1:31" ht="15" x14ac:dyDescent="0.25">
      <c r="B67" s="92" t="s">
        <v>37</v>
      </c>
      <c r="C67" s="82">
        <f t="shared" ref="C67:X67" si="4">C66/1000000</f>
        <v>1.0395999999999999E-4</v>
      </c>
      <c r="D67" s="82">
        <f t="shared" si="4"/>
        <v>8.5879999999999998E-5</v>
      </c>
      <c r="E67" s="82">
        <f t="shared" si="4"/>
        <v>1.1751999999999999E-4</v>
      </c>
      <c r="F67" s="82">
        <f t="shared" si="4"/>
        <v>1.1299999999999998E-4</v>
      </c>
      <c r="G67" s="82">
        <f t="shared" si="4"/>
        <v>1.1299999999999998E-4</v>
      </c>
      <c r="H67" s="82">
        <f t="shared" si="4"/>
        <v>1.1751999999999999E-4</v>
      </c>
      <c r="I67" s="82">
        <f t="shared" si="4"/>
        <v>1.1751999999999999E-4</v>
      </c>
      <c r="J67" s="82">
        <f t="shared" si="4"/>
        <v>1.1751999999999999E-4</v>
      </c>
      <c r="K67" s="82">
        <f t="shared" si="4"/>
        <v>1.1751999999999999E-4</v>
      </c>
      <c r="L67" s="82">
        <f t="shared" si="4"/>
        <v>1.1751999999999999E-4</v>
      </c>
      <c r="M67" s="82">
        <f t="shared" si="4"/>
        <v>1.1299999999999998E-4</v>
      </c>
      <c r="N67" s="82">
        <f t="shared" si="4"/>
        <v>9.9439999999999997E-5</v>
      </c>
      <c r="O67" s="82">
        <f t="shared" si="4"/>
        <v>1.1751999999999999E-4</v>
      </c>
      <c r="P67" s="82">
        <f t="shared" si="4"/>
        <v>1.1751999999999999E-4</v>
      </c>
      <c r="Q67" s="82"/>
      <c r="R67" s="82"/>
      <c r="S67" s="82"/>
      <c r="T67" s="82"/>
      <c r="U67" s="82"/>
      <c r="V67" s="82"/>
      <c r="W67" s="82"/>
      <c r="X67" s="82">
        <f t="shared" si="4"/>
        <v>1.5684399999999997E-3</v>
      </c>
      <c r="Y67" s="7"/>
      <c r="Z67" s="8"/>
      <c r="AA67" s="79"/>
      <c r="AB67" s="100"/>
      <c r="AC67" s="29"/>
      <c r="AD67" s="91"/>
    </row>
    <row r="68" spans="1:31" ht="15" x14ac:dyDescent="0.25">
      <c r="B68" s="92" t="s">
        <v>33</v>
      </c>
      <c r="C68" s="83">
        <f t="shared" ref="C68:X68" si="5">C64/C66</f>
        <v>4.809542131589073E-2</v>
      </c>
      <c r="D68" s="83">
        <f t="shared" si="5"/>
        <v>2.3288309268747091E-2</v>
      </c>
      <c r="E68" s="83">
        <f t="shared" si="5"/>
        <v>8.5091899251191292E-3</v>
      </c>
      <c r="F68" s="83">
        <f t="shared" si="5"/>
        <v>0</v>
      </c>
      <c r="G68" s="83">
        <f t="shared" si="5"/>
        <v>4.4247787610619475E-2</v>
      </c>
      <c r="H68" s="83">
        <f t="shared" si="5"/>
        <v>0</v>
      </c>
      <c r="I68" s="83">
        <f t="shared" si="5"/>
        <v>1.7018379850238258E-2</v>
      </c>
      <c r="J68" s="83">
        <f t="shared" si="5"/>
        <v>1.7018379850238258E-2</v>
      </c>
      <c r="K68" s="83">
        <f t="shared" si="5"/>
        <v>0</v>
      </c>
      <c r="L68" s="83">
        <f t="shared" si="5"/>
        <v>8.5091899251191292E-3</v>
      </c>
      <c r="M68" s="83">
        <f t="shared" si="5"/>
        <v>8.8495575221238954E-3</v>
      </c>
      <c r="N68" s="83">
        <f t="shared" si="5"/>
        <v>0.1005631536604988</v>
      </c>
      <c r="O68" s="83">
        <f t="shared" si="5"/>
        <v>2.5527569775357389E-2</v>
      </c>
      <c r="P68" s="83">
        <f t="shared" si="5"/>
        <v>2.5527569775357389E-2</v>
      </c>
      <c r="Q68" s="83"/>
      <c r="R68" s="83"/>
      <c r="S68" s="83"/>
      <c r="T68" s="83"/>
      <c r="U68" s="83"/>
      <c r="V68" s="83"/>
      <c r="W68" s="83"/>
      <c r="X68" s="83">
        <f t="shared" si="5"/>
        <v>2.2315166662416161E-2</v>
      </c>
      <c r="Y68" s="10"/>
      <c r="Z68" s="11"/>
      <c r="AA68" s="79" t="s">
        <v>7</v>
      </c>
      <c r="AB68" s="101">
        <f>SQRT(((AB65+AB65^2/(AB65^2/(AB66-AB65))))/AB59)</f>
        <v>1.4425383231931909E-3</v>
      </c>
      <c r="AC68" s="29"/>
      <c r="AD68" s="91"/>
    </row>
    <row r="69" spans="1:31" ht="15" x14ac:dyDescent="0.25">
      <c r="A69" s="12"/>
      <c r="B69" s="92" t="s">
        <v>34</v>
      </c>
      <c r="C69" s="83">
        <f t="shared" ref="C69:P69" si="6">DAYS360($A72,C3)</f>
        <v>133</v>
      </c>
      <c r="D69" s="83">
        <f t="shared" si="6"/>
        <v>133</v>
      </c>
      <c r="E69" s="83">
        <f t="shared" si="6"/>
        <v>134</v>
      </c>
      <c r="F69" s="83">
        <f t="shared" si="6"/>
        <v>134</v>
      </c>
      <c r="G69" s="83">
        <f t="shared" si="6"/>
        <v>134</v>
      </c>
      <c r="H69" s="83">
        <f t="shared" si="6"/>
        <v>90</v>
      </c>
      <c r="I69" s="83">
        <f t="shared" si="6"/>
        <v>90</v>
      </c>
      <c r="J69" s="83">
        <f t="shared" si="6"/>
        <v>90</v>
      </c>
      <c r="K69" s="83">
        <f t="shared" si="6"/>
        <v>94</v>
      </c>
      <c r="L69" s="83">
        <f t="shared" si="6"/>
        <v>94</v>
      </c>
      <c r="M69" s="83">
        <f t="shared" si="6"/>
        <v>128</v>
      </c>
      <c r="N69" s="83">
        <f t="shared" si="6"/>
        <v>128</v>
      </c>
      <c r="O69" s="83">
        <f t="shared" si="6"/>
        <v>142</v>
      </c>
      <c r="P69" s="83">
        <f t="shared" si="6"/>
        <v>142</v>
      </c>
      <c r="Q69" s="83"/>
      <c r="R69" s="83"/>
      <c r="S69" s="83"/>
      <c r="T69" s="83"/>
      <c r="U69" s="83"/>
      <c r="V69" s="83"/>
      <c r="W69" s="83"/>
      <c r="X69" s="125">
        <f>AVERAGE(C69:W69)</f>
        <v>119</v>
      </c>
      <c r="Y69" s="146"/>
      <c r="Z69" s="146"/>
      <c r="AD69" s="91"/>
    </row>
    <row r="70" spans="1:31" ht="15.75" thickBot="1" x14ac:dyDescent="0.3">
      <c r="B70" s="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6"/>
      <c r="AB70" s="42"/>
      <c r="AC70" s="27"/>
      <c r="AD70" s="32"/>
    </row>
    <row r="71" spans="1:31" ht="29.25" thickTop="1" thickBot="1" x14ac:dyDescent="0.4">
      <c r="A71" s="14" t="s">
        <v>12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Z71" s="17"/>
      <c r="AA71" s="43" t="s">
        <v>14</v>
      </c>
      <c r="AB71" s="44"/>
      <c r="AC71" s="45"/>
      <c r="AD71" s="46"/>
    </row>
    <row r="72" spans="1:31" ht="19.5" thickTop="1" x14ac:dyDescent="0.3">
      <c r="A72" s="86">
        <v>43066</v>
      </c>
      <c r="B72" s="102" t="s">
        <v>51</v>
      </c>
      <c r="C72" s="176" t="str">
        <f>C1 &amp; "," &amp; H1 &amp; "," &amp; M1 &amp; "," &amp; R1</f>
        <v>35a,33a,37a,</v>
      </c>
      <c r="D72" s="176"/>
      <c r="E72" s="174" t="str">
        <f>D1 &amp; "," &amp; I1 &amp; "," &amp; N1 &amp; "," &amp; S1</f>
        <v>35b,33b,37b,</v>
      </c>
      <c r="F72" s="174"/>
      <c r="G72" s="174" t="str">
        <f>E1 &amp; "," &amp; J1 &amp; "," &amp; O1 &amp; "," &amp; T1</f>
        <v>35c,33c,37c,</v>
      </c>
      <c r="H72" s="174"/>
      <c r="I72" s="174" t="str">
        <f>F1 &amp; "," &amp; K1 &amp; "," &amp; P1 &amp; "," &amp; U1</f>
        <v>35d,33d,37d,</v>
      </c>
      <c r="J72" s="174"/>
      <c r="K72" s="174" t="str">
        <f>G1 &amp; "," &amp; L1 &amp; "," &amp; P1 &amp; "," &amp; V1</f>
        <v>35e,33e,37d,</v>
      </c>
      <c r="L72" s="174"/>
      <c r="M72" s="174"/>
      <c r="N72" s="174"/>
      <c r="Z72" s="21"/>
      <c r="AA72" s="52" t="s">
        <v>8</v>
      </c>
      <c r="AB72" s="53" t="str">
        <f>+A1</f>
        <v>Blue Hills Wampa</v>
      </c>
      <c r="AC72" s="54"/>
      <c r="AD72" s="55"/>
    </row>
    <row r="73" spans="1:31" ht="18.75" x14ac:dyDescent="0.3">
      <c r="A73" s="86"/>
      <c r="B73" s="104" t="s">
        <v>39</v>
      </c>
      <c r="C73" s="176">
        <f>C67+ H67 + M67+ R67 + W67</f>
        <v>3.3447999999999996E-4</v>
      </c>
      <c r="D73" s="176"/>
      <c r="E73" s="174">
        <f>D67+ I67 + N67+ S67</f>
        <v>3.0283999999999997E-4</v>
      </c>
      <c r="F73" s="174"/>
      <c r="G73" s="174">
        <f>E67 + J67 + O67 + T67</f>
        <v>3.5255999999999997E-4</v>
      </c>
      <c r="H73" s="174"/>
      <c r="I73" s="174">
        <f>F67+ K67 + P67 + U67</f>
        <v>3.4803999999999993E-4</v>
      </c>
      <c r="J73" s="174"/>
      <c r="K73" s="174">
        <f>G67 + L67+ P67 + V67</f>
        <v>3.4803999999999993E-4</v>
      </c>
      <c r="L73" s="174"/>
      <c r="M73" s="174"/>
      <c r="N73" s="174"/>
      <c r="Z73" s="21"/>
      <c r="AA73" s="52" t="s">
        <v>9</v>
      </c>
      <c r="AB73" s="52">
        <f>A3</f>
        <v>2018</v>
      </c>
      <c r="AC73" s="61"/>
      <c r="AD73" s="55"/>
    </row>
    <row r="74" spans="1:31" ht="18.75" x14ac:dyDescent="0.3">
      <c r="A74" s="98" t="s">
        <v>11</v>
      </c>
      <c r="B74" s="104" t="s">
        <v>38</v>
      </c>
      <c r="C74" s="174">
        <f>C64 + H64 + M64 + R64 + W64</f>
        <v>6</v>
      </c>
      <c r="D74" s="174"/>
      <c r="E74" s="174">
        <f>D64 + I64 + N64 + S64</f>
        <v>14</v>
      </c>
      <c r="F74" s="174"/>
      <c r="G74" s="174">
        <f>E64 + J64 + O64 + T64</f>
        <v>6</v>
      </c>
      <c r="H74" s="174"/>
      <c r="I74" s="174">
        <f>F64 + K64 + P64 + U64</f>
        <v>3</v>
      </c>
      <c r="J74" s="174"/>
      <c r="K74" s="174">
        <f>G64 + L64 + P64+ V64</f>
        <v>9</v>
      </c>
      <c r="L74" s="174"/>
      <c r="M74" s="174"/>
      <c r="N74" s="174"/>
      <c r="Z74" s="21"/>
      <c r="AA74" s="62" t="s">
        <v>10</v>
      </c>
      <c r="AB74" s="109">
        <f>AB58</f>
        <v>14</v>
      </c>
      <c r="AC74" s="61"/>
      <c r="AD74" s="55"/>
    </row>
    <row r="75" spans="1:31" ht="18.75" x14ac:dyDescent="0.3">
      <c r="A75" s="98"/>
      <c r="B75" s="104" t="s">
        <v>40</v>
      </c>
      <c r="C75" s="174">
        <f>AVERAGE(C69,H69,M69,R69,W69)</f>
        <v>117</v>
      </c>
      <c r="D75" s="174"/>
      <c r="E75" s="175">
        <f xml:space="preserve"> AVERAGE(D69, I69, N69, S69)</f>
        <v>117</v>
      </c>
      <c r="F75" s="175"/>
      <c r="G75" s="175">
        <f xml:space="preserve"> AVERAGE(E69, J69, O69, T69)</f>
        <v>122</v>
      </c>
      <c r="H75" s="175"/>
      <c r="I75" s="175">
        <f>AVERAGE(F69, K69, P69, U69)</f>
        <v>123.33333333333333</v>
      </c>
      <c r="J75" s="175"/>
      <c r="K75" s="175">
        <f xml:space="preserve"> AVERAGE(G69, L69, P69, V69)</f>
        <v>123.33333333333333</v>
      </c>
      <c r="L75" s="175"/>
      <c r="M75" s="175"/>
      <c r="N75" s="175"/>
      <c r="Z75" s="21"/>
      <c r="AA75" s="52" t="s">
        <v>30</v>
      </c>
      <c r="AB75" s="105">
        <f>X65</f>
        <v>347</v>
      </c>
      <c r="AC75" s="61"/>
      <c r="AD75" s="55"/>
    </row>
    <row r="76" spans="1:31" ht="18.75" x14ac:dyDescent="0.3">
      <c r="A76" s="98"/>
      <c r="B76" s="94" t="s">
        <v>1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X76" s="16" t="s">
        <v>16</v>
      </c>
      <c r="Y76" s="16" t="s">
        <v>15</v>
      </c>
      <c r="Z76" s="21"/>
      <c r="AA76" s="52" t="s">
        <v>42</v>
      </c>
      <c r="AB76" s="105">
        <f>X64</f>
        <v>35</v>
      </c>
      <c r="AC76" s="61"/>
      <c r="AD76" s="55"/>
    </row>
    <row r="77" spans="1:31" ht="18.75" x14ac:dyDescent="0.3">
      <c r="A77" s="22"/>
      <c r="B77" s="19">
        <v>10.9</v>
      </c>
      <c r="C77" s="171">
        <f>C74/(B77*C73*C75)</f>
        <v>14.065939210048979</v>
      </c>
      <c r="D77" s="172"/>
      <c r="E77" s="171">
        <f>E74/(B77*E73*E75)</f>
        <v>36.249534879628712</v>
      </c>
      <c r="F77" s="172"/>
      <c r="G77" s="171">
        <f>G74/(B77*G73*G75)</f>
        <v>12.797698789470791</v>
      </c>
      <c r="H77" s="172"/>
      <c r="I77" s="171">
        <f>I74/(B77*I73*I75)</f>
        <v>6.411876185359989</v>
      </c>
      <c r="J77" s="172"/>
      <c r="K77" s="171">
        <f>K74/($B$77*K73*K75)</f>
        <v>19.23562855607997</v>
      </c>
      <c r="L77" s="172"/>
      <c r="M77" s="171"/>
      <c r="N77" s="172"/>
      <c r="O77" s="147"/>
      <c r="P77" s="147"/>
      <c r="Q77" s="147"/>
      <c r="R77" s="147"/>
      <c r="S77" s="147"/>
      <c r="T77" s="147"/>
      <c r="U77" s="147"/>
      <c r="V77" s="147"/>
      <c r="W77" s="147"/>
      <c r="X77" s="20">
        <f>AVERAGE(C77:L77)</f>
        <v>17.752135524117691</v>
      </c>
      <c r="Y77" s="20">
        <f>STDEV(C77:Q77)</f>
        <v>11.303655415250558</v>
      </c>
      <c r="Z77" s="21"/>
      <c r="AA77" s="52" t="s">
        <v>120</v>
      </c>
      <c r="AB77" s="105">
        <v>15.1</v>
      </c>
      <c r="AC77" s="61" t="s">
        <v>48</v>
      </c>
      <c r="AD77" s="55"/>
    </row>
    <row r="78" spans="1:31" ht="18.75" x14ac:dyDescent="0.3">
      <c r="A78" s="26"/>
      <c r="B78" s="24">
        <v>19.8</v>
      </c>
      <c r="C78" s="171">
        <f>C74/(B78*C75*C73)</f>
        <v>7.7433705752289832</v>
      </c>
      <c r="D78" s="172"/>
      <c r="E78" s="171">
        <f>E74/(B78*E73*E75)</f>
        <v>19.955552029694591</v>
      </c>
      <c r="F78" s="172"/>
      <c r="G78" s="171">
        <f>G74/(B78*G73*G75)</f>
        <v>7.0451978184460415</v>
      </c>
      <c r="H78" s="172"/>
      <c r="I78" s="171">
        <f>I74/(B78*I73*I75)</f>
        <v>3.5297702232537311</v>
      </c>
      <c r="J78" s="172"/>
      <c r="K78" s="171">
        <f>K74/($B$78*K73*K75)</f>
        <v>10.589310669761193</v>
      </c>
      <c r="L78" s="172"/>
      <c r="M78" s="171"/>
      <c r="N78" s="172"/>
      <c r="O78" s="129"/>
      <c r="P78" s="129"/>
      <c r="Q78" s="129"/>
      <c r="R78" s="129"/>
      <c r="S78" s="129"/>
      <c r="T78" s="129"/>
      <c r="U78" s="129"/>
      <c r="V78" s="129"/>
      <c r="W78" s="129"/>
      <c r="X78" s="20">
        <f>AVERAGE(C78:Q78)</f>
        <v>9.7726402632769069</v>
      </c>
      <c r="Y78" s="20">
        <f>STDEV(C78:Q78)</f>
        <v>6.2227193952642015</v>
      </c>
      <c r="Z78" s="21"/>
      <c r="AA78" s="106" t="s">
        <v>43</v>
      </c>
      <c r="AB78" s="63"/>
      <c r="AC78" s="61"/>
      <c r="AD78" s="55"/>
    </row>
    <row r="79" spans="1:31" ht="18.75" x14ac:dyDescent="0.3">
      <c r="B79" s="19">
        <v>28.7</v>
      </c>
      <c r="C79" s="171">
        <f>C74/(B79*C73*C75)</f>
        <v>5.3421162853496122</v>
      </c>
      <c r="D79" s="172"/>
      <c r="E79" s="171">
        <f>E74/(B79*E73*E75)</f>
        <v>13.767244954284074</v>
      </c>
      <c r="F79" s="172"/>
      <c r="G79" s="171">
        <f>G74/(B79*G73*G75)</f>
        <v>4.8604500629000578</v>
      </c>
      <c r="H79" s="172"/>
      <c r="I79" s="171">
        <f>I74/(B79*I73*I75)</f>
        <v>2.4351724885165122</v>
      </c>
      <c r="J79" s="172"/>
      <c r="K79" s="171">
        <f>K74/($B$79*K73*K75)</f>
        <v>7.3055174655495367</v>
      </c>
      <c r="L79" s="172"/>
      <c r="M79" s="171"/>
      <c r="N79" s="172"/>
      <c r="O79" s="23"/>
      <c r="P79" s="23"/>
      <c r="Q79" s="23"/>
      <c r="R79" s="23"/>
      <c r="S79" s="23"/>
      <c r="T79" s="23"/>
      <c r="U79" s="23"/>
      <c r="V79" s="23"/>
      <c r="W79" s="23"/>
      <c r="X79" s="20">
        <f>AVERAGE(C79:Q79)</f>
        <v>6.7421002513199584</v>
      </c>
      <c r="Y79" s="20">
        <f>STDEV(C79:Q79)</f>
        <v>4.2930259242589264</v>
      </c>
      <c r="Z79" s="21"/>
      <c r="AA79" s="62" t="s">
        <v>44</v>
      </c>
      <c r="AB79" s="107">
        <f>AVERAGE(C77:L79)</f>
        <v>11.422292012904855</v>
      </c>
      <c r="AC79" s="61" t="s">
        <v>48</v>
      </c>
      <c r="AD79" s="110">
        <f>AB79/0.386</f>
        <v>29.591430085245737</v>
      </c>
      <c r="AE79" s="110" t="s">
        <v>49</v>
      </c>
    </row>
    <row r="80" spans="1:31" ht="18.75" x14ac:dyDescent="0.3">
      <c r="B80" s="1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0"/>
      <c r="Y80" s="20"/>
      <c r="Z80" s="21"/>
      <c r="AA80" s="71" t="s">
        <v>94</v>
      </c>
      <c r="AB80" s="72">
        <f>_xlfn.VAR.S(C77:L79)</f>
        <v>75.940147107473038</v>
      </c>
      <c r="AC80" s="61" t="s">
        <v>48</v>
      </c>
      <c r="AD80" s="110">
        <f>AB80/0.386</f>
        <v>196.73613240277987</v>
      </c>
      <c r="AE80" s="110" t="s">
        <v>49</v>
      </c>
    </row>
    <row r="81" spans="1:32" ht="18.75" x14ac:dyDescent="0.3">
      <c r="B81" s="77" t="s">
        <v>41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20"/>
      <c r="Y81" s="20"/>
      <c r="Z81" s="21"/>
      <c r="AA81" s="71" t="s">
        <v>46</v>
      </c>
      <c r="AB81" s="72">
        <f>MAX(C77:L79)</f>
        <v>36.249534879628712</v>
      </c>
      <c r="AC81" s="61" t="s">
        <v>48</v>
      </c>
      <c r="AD81" s="110">
        <f>AB81/0.386</f>
        <v>93.910712123390439</v>
      </c>
      <c r="AE81" s="110" t="s">
        <v>49</v>
      </c>
    </row>
    <row r="82" spans="1:32" ht="18.75" x14ac:dyDescent="0.3">
      <c r="Z82" s="21"/>
      <c r="AA82" s="71" t="s">
        <v>47</v>
      </c>
      <c r="AB82" s="72">
        <f>MIN(C77:L79)</f>
        <v>2.4351724885165122</v>
      </c>
      <c r="AC82" s="108" t="s">
        <v>48</v>
      </c>
      <c r="AD82" s="110">
        <f>AB82/0.386</f>
        <v>6.3087370168821559</v>
      </c>
      <c r="AE82" s="110" t="s">
        <v>49</v>
      </c>
    </row>
    <row r="83" spans="1:32" ht="18.75" x14ac:dyDescent="0.3">
      <c r="Z83" s="21"/>
      <c r="AA83" s="68" t="s">
        <v>53</v>
      </c>
      <c r="AB83" s="72">
        <f>COUNT(C77:L79)</f>
        <v>15</v>
      </c>
      <c r="AC83" s="61"/>
      <c r="AD83" s="55"/>
    </row>
    <row r="84" spans="1:32" ht="18.75" x14ac:dyDescent="0.3">
      <c r="Z84" s="21"/>
      <c r="AA84" s="66"/>
      <c r="AB84" s="72"/>
      <c r="AC84" s="61"/>
      <c r="AD84" s="61"/>
    </row>
    <row r="85" spans="1:32" ht="18.75" x14ac:dyDescent="0.3">
      <c r="A85" s="18"/>
      <c r="Z85" s="21"/>
      <c r="AA85" s="68" t="s">
        <v>95</v>
      </c>
      <c r="AB85" s="69"/>
      <c r="AC85" s="110">
        <f>AB79-AB88</f>
        <v>6.8875629768469455</v>
      </c>
      <c r="AD85" s="110">
        <f>AB79+AB88</f>
        <v>15.957021048962764</v>
      </c>
      <c r="AE85" s="111" t="s">
        <v>48</v>
      </c>
      <c r="AF85"/>
    </row>
    <row r="86" spans="1:32" ht="18.75" x14ac:dyDescent="0.3">
      <c r="X86" s="146"/>
      <c r="Y86" s="146"/>
      <c r="Z86" s="21"/>
      <c r="AA86" s="71"/>
      <c r="AB86" s="74"/>
      <c r="AC86" s="110">
        <f>AC85/0.385</f>
        <v>17.889773965836223</v>
      </c>
      <c r="AD86" s="110">
        <f>AD85/0.386</f>
        <v>41.339432769333584</v>
      </c>
      <c r="AE86" s="111" t="s">
        <v>49</v>
      </c>
    </row>
    <row r="87" spans="1:32" ht="23.25" x14ac:dyDescent="0.35">
      <c r="X87" s="38"/>
      <c r="Y87" s="39"/>
      <c r="Z87" s="21"/>
      <c r="AA87" s="2" t="s">
        <v>97</v>
      </c>
      <c r="AB87" s="18"/>
    </row>
    <row r="88" spans="1:32" ht="23.25" x14ac:dyDescent="0.35">
      <c r="X88" s="39"/>
      <c r="Y88" s="41"/>
      <c r="Z88" s="21"/>
      <c r="AA88" s="2" t="s">
        <v>52</v>
      </c>
      <c r="AB88" s="18">
        <f>2.0154*AB89</f>
        <v>4.5347290360579091</v>
      </c>
    </row>
    <row r="89" spans="1:32" s="18" customFormat="1" ht="23.2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9"/>
      <c r="Y89" s="41"/>
      <c r="Z89" s="27"/>
      <c r="AA89" s="2" t="s">
        <v>90</v>
      </c>
      <c r="AB89" s="18">
        <f>SQRT(AB80)/SQRT(AB83)</f>
        <v>2.250039216065252</v>
      </c>
    </row>
    <row r="90" spans="1:32" ht="15" x14ac:dyDescent="0.25">
      <c r="X90" s="48"/>
      <c r="Y90" s="49"/>
      <c r="AB90" s="18"/>
      <c r="AC90" s="31"/>
      <c r="AD90" s="31"/>
    </row>
    <row r="91" spans="1:32" ht="17.25" customHeight="1" x14ac:dyDescent="0.25">
      <c r="X91" s="57"/>
      <c r="Y91" s="49"/>
      <c r="AB91" s="18"/>
      <c r="AC91" s="31"/>
      <c r="AD91" s="31"/>
    </row>
    <row r="92" spans="1:32" ht="15.75" customHeight="1" x14ac:dyDescent="0.25">
      <c r="X92" s="57"/>
      <c r="Y92" s="49"/>
      <c r="AA92" s="18"/>
      <c r="AB92" s="18"/>
      <c r="AC92" s="31"/>
      <c r="AD92" s="31"/>
      <c r="AF92" s="36"/>
    </row>
    <row r="93" spans="1:32" ht="15" customHeigh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57"/>
      <c r="Y93" s="49"/>
      <c r="AA93" s="121" t="s">
        <v>114</v>
      </c>
    </row>
    <row r="94" spans="1:32" ht="15.75" customHeight="1" x14ac:dyDescent="0.25">
      <c r="X94" s="48"/>
      <c r="Y94" s="49"/>
      <c r="AB94" s="122" t="s">
        <v>115</v>
      </c>
      <c r="AC94" s="122" t="s">
        <v>116</v>
      </c>
      <c r="AD94" s="122" t="s">
        <v>117</v>
      </c>
      <c r="AE94" s="122" t="s">
        <v>118</v>
      </c>
    </row>
    <row r="95" spans="1:32" ht="16.5" customHeight="1" x14ac:dyDescent="0.25">
      <c r="X95" s="48"/>
      <c r="Y95" s="49"/>
      <c r="Z95" s="146"/>
      <c r="AB95" s="123">
        <v>42703</v>
      </c>
      <c r="AC95" s="121">
        <v>24</v>
      </c>
      <c r="AD95" s="121">
        <f>AB95-$A$72</f>
        <v>-363</v>
      </c>
      <c r="AE95" s="121">
        <f>AC95*AD95*$B$78</f>
        <v>-172497.6</v>
      </c>
    </row>
    <row r="96" spans="1:32" ht="16.5" customHeight="1" x14ac:dyDescent="0.35">
      <c r="X96" s="48"/>
      <c r="Y96" s="49"/>
      <c r="Z96" s="39"/>
      <c r="AB96" s="123">
        <v>42704</v>
      </c>
      <c r="AC96" s="121">
        <v>17</v>
      </c>
      <c r="AD96" s="121">
        <f t="shared" ref="AD96:AD98" si="7">AB96-$A$72</f>
        <v>-362</v>
      </c>
      <c r="AE96" s="121">
        <f t="shared" ref="AE96:AE98" si="8">AC96*AD96*$B$78</f>
        <v>-121849.20000000001</v>
      </c>
    </row>
    <row r="97" spans="1:34" ht="16.5" customHeight="1" x14ac:dyDescent="0.25">
      <c r="X97" s="48"/>
      <c r="Y97" s="49"/>
      <c r="Z97" s="41"/>
      <c r="AB97" s="123">
        <v>42707</v>
      </c>
      <c r="AC97" s="121">
        <v>9</v>
      </c>
      <c r="AD97" s="121">
        <f t="shared" si="7"/>
        <v>-359</v>
      </c>
      <c r="AE97" s="121">
        <f t="shared" si="8"/>
        <v>-63973.8</v>
      </c>
    </row>
    <row r="98" spans="1:34" ht="15.75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48"/>
      <c r="Y98" s="49"/>
      <c r="Z98" s="41"/>
      <c r="AB98" s="123">
        <v>42708</v>
      </c>
      <c r="AC98" s="121">
        <v>8</v>
      </c>
      <c r="AD98" s="121">
        <f t="shared" si="7"/>
        <v>-358</v>
      </c>
      <c r="AE98" s="121">
        <f t="shared" si="8"/>
        <v>-56707.200000000004</v>
      </c>
    </row>
    <row r="99" spans="1:34" x14ac:dyDescent="0.2">
      <c r="A99" s="64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48"/>
      <c r="Y99" s="49"/>
      <c r="Z99" s="50"/>
      <c r="AA99" s="40"/>
      <c r="AC99" s="51"/>
      <c r="AD99" s="51"/>
      <c r="AE99" s="51"/>
    </row>
    <row r="100" spans="1:34" ht="15.75" x14ac:dyDescent="0.25">
      <c r="A100" s="6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48"/>
      <c r="Y100" s="49"/>
      <c r="Z100" s="50"/>
      <c r="AA100" s="40"/>
      <c r="AD100" s="121">
        <f>AB77*AB79*B78*X69</f>
        <v>406389.3870561769</v>
      </c>
      <c r="AE100" s="124" t="s">
        <v>119</v>
      </c>
    </row>
    <row r="101" spans="1:34" ht="15.75" x14ac:dyDescent="0.25">
      <c r="A101" s="64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48"/>
      <c r="Y101" s="49"/>
      <c r="Z101" s="50"/>
      <c r="AA101" s="40"/>
      <c r="AD101" s="121">
        <f>AD100-AE98-AE97-AE96-AE95</f>
        <v>821417.18705617695</v>
      </c>
      <c r="AE101" s="124" t="s">
        <v>121</v>
      </c>
    </row>
    <row r="102" spans="1:34" x14ac:dyDescent="0.2">
      <c r="A102" s="64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48"/>
      <c r="Y102" s="49"/>
      <c r="Z102" s="50"/>
      <c r="AA102" s="40"/>
    </row>
    <row r="103" spans="1:34" ht="15.75" x14ac:dyDescent="0.25">
      <c r="A103" s="67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48"/>
      <c r="Y103" s="49"/>
      <c r="Z103" s="50"/>
      <c r="AA103" s="58"/>
      <c r="AD103" s="126">
        <f>AD101/(B78*X69*AB77)</f>
        <v>23.08738188991526</v>
      </c>
      <c r="AE103" s="124" t="s">
        <v>122</v>
      </c>
    </row>
    <row r="104" spans="1:34" x14ac:dyDescent="0.2">
      <c r="A104" s="67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48"/>
      <c r="Y104" s="49"/>
      <c r="Z104" s="50"/>
      <c r="AA104" s="58"/>
    </row>
    <row r="105" spans="1:34" x14ac:dyDescent="0.2">
      <c r="A105" s="73"/>
      <c r="X105" s="48"/>
      <c r="Y105" s="49"/>
      <c r="Z105" s="50"/>
      <c r="AA105" s="58"/>
    </row>
    <row r="106" spans="1:34" x14ac:dyDescent="0.2">
      <c r="A106" s="73"/>
      <c r="B106" s="27"/>
      <c r="X106" s="48"/>
      <c r="Y106" s="49"/>
      <c r="Z106" s="50"/>
      <c r="AA106" s="65"/>
    </row>
    <row r="107" spans="1:34" s="60" customFormat="1" x14ac:dyDescent="0.2">
      <c r="A107" s="73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48"/>
      <c r="Y107" s="49"/>
      <c r="Z107" s="50"/>
      <c r="AA107" s="58"/>
      <c r="AB107" s="2"/>
      <c r="AC107" s="2"/>
      <c r="AD107" s="2"/>
      <c r="AE107" s="2"/>
      <c r="AF107" s="2"/>
      <c r="AG107" s="2"/>
      <c r="AH107" s="2"/>
    </row>
    <row r="108" spans="1:34" s="60" customFormat="1" x14ac:dyDescent="0.2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48"/>
      <c r="Y108" s="49"/>
      <c r="Z108" s="50"/>
      <c r="AA108" s="58"/>
      <c r="AB108" s="2"/>
      <c r="AC108" s="2" t="s">
        <v>123</v>
      </c>
      <c r="AD108" s="2"/>
      <c r="AE108" s="2"/>
      <c r="AF108" s="2"/>
      <c r="AG108" s="2"/>
      <c r="AH108" s="2"/>
    </row>
    <row r="109" spans="1:34" s="60" customFormat="1" x14ac:dyDescent="0.2">
      <c r="A109" s="7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48"/>
      <c r="Y109" s="49"/>
      <c r="Z109" s="50"/>
      <c r="AA109" s="58"/>
      <c r="AB109" s="59"/>
      <c r="AC109" s="51"/>
      <c r="AF109" s="2"/>
      <c r="AG109" s="2"/>
      <c r="AH109" s="2"/>
    </row>
    <row r="110" spans="1:34" s="60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48"/>
      <c r="Y110" s="49"/>
      <c r="Z110" s="50"/>
      <c r="AA110" s="58"/>
      <c r="AB110" s="59"/>
      <c r="AC110" s="51"/>
      <c r="AF110" s="2"/>
      <c r="AG110" s="2"/>
      <c r="AH110" s="2"/>
    </row>
    <row r="111" spans="1:34" s="60" customFormat="1" x14ac:dyDescent="0.2">
      <c r="A111" s="22"/>
      <c r="B111" s="1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48"/>
      <c r="Y111" s="49"/>
      <c r="Z111" s="50"/>
      <c r="AA111" s="58"/>
      <c r="AB111" s="59"/>
      <c r="AC111" s="51"/>
    </row>
    <row r="112" spans="1:34" s="60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48"/>
      <c r="Y112" s="49"/>
      <c r="Z112" s="50"/>
      <c r="AA112" s="58"/>
      <c r="AB112" s="59"/>
      <c r="AC112" s="51"/>
    </row>
    <row r="113" spans="1:31" s="60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48"/>
      <c r="Y113" s="49"/>
      <c r="Z113" s="50"/>
      <c r="AA113" s="58"/>
      <c r="AB113" s="59"/>
      <c r="AC113" s="51"/>
    </row>
    <row r="114" spans="1:31" x14ac:dyDescent="0.2">
      <c r="X114" s="48"/>
      <c r="Y114" s="49"/>
      <c r="Z114" s="50"/>
      <c r="AA114" s="58"/>
      <c r="AB114" s="59"/>
      <c r="AC114" s="51"/>
      <c r="AD114" s="51"/>
      <c r="AE114" s="51"/>
    </row>
    <row r="115" spans="1:31" x14ac:dyDescent="0.2">
      <c r="X115" s="48"/>
      <c r="Y115" s="49"/>
      <c r="Z115" s="50"/>
      <c r="AA115" s="58"/>
      <c r="AB115" s="59"/>
      <c r="AC115" s="51"/>
      <c r="AD115" s="51"/>
      <c r="AE115" s="51"/>
    </row>
    <row r="116" spans="1:31" x14ac:dyDescent="0.2">
      <c r="X116" s="48"/>
      <c r="Y116" s="49"/>
      <c r="Z116" s="50"/>
      <c r="AA116" s="58"/>
      <c r="AB116" s="59"/>
      <c r="AC116" s="51"/>
      <c r="AD116" s="51"/>
      <c r="AE116" s="51"/>
    </row>
    <row r="117" spans="1:31" x14ac:dyDescent="0.2">
      <c r="X117" s="48"/>
      <c r="Y117" s="49"/>
      <c r="Z117" s="50"/>
      <c r="AA117" s="58"/>
      <c r="AB117" s="51"/>
      <c r="AC117" s="51"/>
      <c r="AD117" s="51"/>
      <c r="AE117" s="51"/>
    </row>
    <row r="118" spans="1:31" x14ac:dyDescent="0.2">
      <c r="X118" s="40"/>
      <c r="Y118" s="50"/>
      <c r="Z118" s="50"/>
      <c r="AA118" s="58"/>
      <c r="AB118" s="51"/>
      <c r="AC118" s="51"/>
      <c r="AD118" s="51"/>
      <c r="AE118" s="51"/>
    </row>
    <row r="119" spans="1:31" x14ac:dyDescent="0.2">
      <c r="X119" s="40"/>
      <c r="Y119" s="40"/>
      <c r="Z119" s="50"/>
      <c r="AA119" s="58"/>
      <c r="AB119" s="51"/>
      <c r="AC119" s="51"/>
      <c r="AD119" s="51"/>
      <c r="AE119" s="51"/>
    </row>
    <row r="120" spans="1:31" x14ac:dyDescent="0.2">
      <c r="Z120" s="50"/>
      <c r="AA120" s="58"/>
      <c r="AB120" s="51"/>
      <c r="AC120" s="51"/>
      <c r="AD120" s="51"/>
      <c r="AE120" s="51"/>
    </row>
    <row r="121" spans="1:31" x14ac:dyDescent="0.2">
      <c r="Z121" s="50"/>
      <c r="AA121" s="76"/>
      <c r="AB121" s="51"/>
      <c r="AC121" s="51"/>
      <c r="AD121" s="51"/>
      <c r="AE121" s="51"/>
    </row>
    <row r="122" spans="1:31" x14ac:dyDescent="0.2">
      <c r="Z122" s="50"/>
      <c r="AA122" s="76"/>
      <c r="AB122" s="51"/>
      <c r="AC122" s="51"/>
      <c r="AD122" s="51"/>
      <c r="AE122" s="51"/>
    </row>
    <row r="123" spans="1:31" x14ac:dyDescent="0.2">
      <c r="Z123" s="50"/>
      <c r="AA123" s="76"/>
      <c r="AB123" s="51"/>
      <c r="AC123" s="51"/>
      <c r="AD123" s="51"/>
      <c r="AE123" s="51"/>
    </row>
    <row r="124" spans="1:31" x14ac:dyDescent="0.2">
      <c r="Z124" s="50"/>
      <c r="AA124" s="76"/>
      <c r="AB124" s="51"/>
      <c r="AC124" s="51"/>
      <c r="AD124" s="51"/>
      <c r="AE124" s="51"/>
    </row>
    <row r="125" spans="1:31" x14ac:dyDescent="0.2">
      <c r="Z125" s="50"/>
      <c r="AA125" s="76"/>
      <c r="AB125" s="51"/>
      <c r="AC125" s="51"/>
      <c r="AD125" s="51"/>
      <c r="AE125" s="51"/>
    </row>
    <row r="126" spans="1:31" x14ac:dyDescent="0.2">
      <c r="Z126" s="50"/>
      <c r="AA126" s="76"/>
      <c r="AB126" s="51"/>
      <c r="AC126" s="51"/>
      <c r="AD126" s="51"/>
      <c r="AE126" s="51"/>
    </row>
    <row r="127" spans="1:31" x14ac:dyDescent="0.2">
      <c r="Z127" s="50"/>
      <c r="AA127" s="76"/>
      <c r="AB127" s="51"/>
      <c r="AC127" s="51"/>
      <c r="AD127" s="51"/>
      <c r="AE127" s="51"/>
    </row>
    <row r="128" spans="1:31" x14ac:dyDescent="0.2">
      <c r="Z128" s="40"/>
      <c r="AA128" s="76"/>
      <c r="AB128" s="51"/>
      <c r="AC128" s="51"/>
      <c r="AD128" s="51"/>
      <c r="AE128" s="51"/>
    </row>
    <row r="129" spans="27:28" x14ac:dyDescent="0.2">
      <c r="AA129" s="76"/>
      <c r="AB129" s="51"/>
    </row>
    <row r="130" spans="27:28" x14ac:dyDescent="0.2">
      <c r="AA130" s="76"/>
      <c r="AB130" s="51"/>
    </row>
    <row r="131" spans="27:28" x14ac:dyDescent="0.2">
      <c r="AA131" s="76"/>
      <c r="AB131" s="51"/>
    </row>
  </sheetData>
  <mergeCells count="42">
    <mergeCell ref="M72:N72"/>
    <mergeCell ref="C72:D72"/>
    <mergeCell ref="E72:F72"/>
    <mergeCell ref="G72:H72"/>
    <mergeCell ref="I72:J72"/>
    <mergeCell ref="K72:L72"/>
    <mergeCell ref="M74:N74"/>
    <mergeCell ref="C73:D73"/>
    <mergeCell ref="E73:F73"/>
    <mergeCell ref="G73:H73"/>
    <mergeCell ref="I73:J73"/>
    <mergeCell ref="K73:L73"/>
    <mergeCell ref="M73:N73"/>
    <mergeCell ref="C74:D74"/>
    <mergeCell ref="E74:F74"/>
    <mergeCell ref="G74:H74"/>
    <mergeCell ref="I74:J74"/>
    <mergeCell ref="K74:L74"/>
    <mergeCell ref="M77:N77"/>
    <mergeCell ref="C75:D75"/>
    <mergeCell ref="E75:F75"/>
    <mergeCell ref="G75:H75"/>
    <mergeCell ref="I75:J75"/>
    <mergeCell ref="K75:L75"/>
    <mergeCell ref="M75:N75"/>
    <mergeCell ref="C77:D77"/>
    <mergeCell ref="E77:F77"/>
    <mergeCell ref="G77:H77"/>
    <mergeCell ref="I77:J77"/>
    <mergeCell ref="K77:L77"/>
    <mergeCell ref="M79:N79"/>
    <mergeCell ref="C78:D78"/>
    <mergeCell ref="E78:F78"/>
    <mergeCell ref="G78:H78"/>
    <mergeCell ref="I78:J78"/>
    <mergeCell ref="K78:L78"/>
    <mergeCell ref="M78:N78"/>
    <mergeCell ref="C79:D79"/>
    <mergeCell ref="E79:F79"/>
    <mergeCell ref="G79:H79"/>
    <mergeCell ref="I79:J79"/>
    <mergeCell ref="K79:L79"/>
  </mergeCells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1"/>
  <sheetViews>
    <sheetView workbookViewId="0">
      <pane xSplit="2" ySplit="3" topLeftCell="V58" activePane="bottomRight" state="frozen"/>
      <selection pane="topRight" activeCell="C1" sqref="C1"/>
      <selection pane="bottomLeft" activeCell="A3" sqref="A3"/>
      <selection pane="bottomRight" activeCell="K76" sqref="K76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17" width="11.42578125" style="2" customWidth="1"/>
    <col min="18" max="18" width="11.140625" style="2" bestFit="1" customWidth="1"/>
    <col min="19" max="27" width="11.42578125" style="2" customWidth="1"/>
    <col min="28" max="28" width="10.7109375" style="2" customWidth="1"/>
    <col min="29" max="29" width="9.42578125" style="2" customWidth="1"/>
    <col min="30" max="30" width="2.5703125" style="2" customWidth="1"/>
    <col min="31" max="31" width="35.140625" style="2" customWidth="1"/>
    <col min="32" max="32" width="15.28515625" style="2" bestFit="1" customWidth="1"/>
    <col min="33" max="33" width="12.28515625" style="2" bestFit="1" customWidth="1"/>
    <col min="34" max="34" width="20.42578125" style="2" bestFit="1" customWidth="1"/>
    <col min="35" max="35" width="15.5703125" style="2" bestFit="1" customWidth="1"/>
    <col min="36" max="16384" width="11.42578125" style="2"/>
  </cols>
  <sheetData>
    <row r="1" spans="1:31" ht="15.75" x14ac:dyDescent="0.25">
      <c r="A1" s="95" t="s">
        <v>200</v>
      </c>
      <c r="B1" s="84"/>
      <c r="C1" s="85" t="s">
        <v>99</v>
      </c>
      <c r="D1" s="85" t="s">
        <v>100</v>
      </c>
      <c r="E1" s="85" t="s">
        <v>27</v>
      </c>
      <c r="F1" s="85" t="s">
        <v>28</v>
      </c>
      <c r="G1" s="85" t="s">
        <v>101</v>
      </c>
      <c r="H1" s="150" t="s">
        <v>139</v>
      </c>
      <c r="I1" s="85" t="s">
        <v>24</v>
      </c>
      <c r="J1" s="153" t="s">
        <v>140</v>
      </c>
      <c r="K1" s="85" t="s">
        <v>141</v>
      </c>
      <c r="L1" s="153" t="s">
        <v>162</v>
      </c>
      <c r="M1" s="85" t="s">
        <v>163</v>
      </c>
      <c r="N1" s="153" t="s">
        <v>164</v>
      </c>
      <c r="O1" s="85" t="s">
        <v>165</v>
      </c>
      <c r="P1" s="153" t="s">
        <v>166</v>
      </c>
      <c r="Q1" s="85" t="s">
        <v>126</v>
      </c>
      <c r="R1" s="153" t="s">
        <v>167</v>
      </c>
      <c r="S1" s="85" t="s">
        <v>168</v>
      </c>
      <c r="T1" s="153" t="s">
        <v>169</v>
      </c>
      <c r="U1" s="85" t="s">
        <v>170</v>
      </c>
      <c r="V1" s="153" t="s">
        <v>176</v>
      </c>
      <c r="W1" s="167" t="s">
        <v>177</v>
      </c>
      <c r="X1" s="153" t="s">
        <v>178</v>
      </c>
      <c r="Y1" s="167" t="s">
        <v>179</v>
      </c>
      <c r="Z1" s="153" t="s">
        <v>180</v>
      </c>
      <c r="AA1" s="85"/>
      <c r="AB1" s="153"/>
      <c r="AC1" s="153"/>
      <c r="AD1" s="1"/>
    </row>
    <row r="2" spans="1:31" ht="15.75" x14ac:dyDescent="0.25">
      <c r="A2" s="95"/>
      <c r="B2" s="84"/>
      <c r="C2" s="155" t="s">
        <v>195</v>
      </c>
      <c r="D2" s="155" t="s">
        <v>195</v>
      </c>
      <c r="E2" s="155" t="s">
        <v>195</v>
      </c>
      <c r="F2" s="155" t="s">
        <v>195</v>
      </c>
      <c r="G2" s="155" t="s">
        <v>195</v>
      </c>
      <c r="H2" s="155" t="s">
        <v>195</v>
      </c>
      <c r="I2" s="155" t="s">
        <v>195</v>
      </c>
      <c r="J2" s="155" t="s">
        <v>195</v>
      </c>
      <c r="K2" s="155" t="s">
        <v>195</v>
      </c>
      <c r="L2" s="155" t="s">
        <v>195</v>
      </c>
      <c r="M2" s="155" t="s">
        <v>195</v>
      </c>
      <c r="N2" s="155" t="s">
        <v>195</v>
      </c>
      <c r="O2" s="155" t="s">
        <v>195</v>
      </c>
      <c r="P2" s="155" t="s">
        <v>195</v>
      </c>
      <c r="Q2" s="85" t="s">
        <v>205</v>
      </c>
      <c r="R2" s="155" t="s">
        <v>205</v>
      </c>
      <c r="S2" s="85" t="s">
        <v>205</v>
      </c>
      <c r="T2" s="155" t="s">
        <v>205</v>
      </c>
      <c r="U2" s="85" t="s">
        <v>205</v>
      </c>
      <c r="V2" s="155" t="s">
        <v>205</v>
      </c>
      <c r="W2" s="85" t="s">
        <v>205</v>
      </c>
      <c r="X2" s="155" t="s">
        <v>205</v>
      </c>
      <c r="Y2" s="85" t="s">
        <v>205</v>
      </c>
      <c r="Z2" s="155" t="s">
        <v>205</v>
      </c>
      <c r="AA2" s="85"/>
      <c r="AB2" s="155"/>
      <c r="AC2" s="155"/>
      <c r="AD2" s="1"/>
    </row>
    <row r="3" spans="1:31" ht="15" x14ac:dyDescent="0.25">
      <c r="A3" s="161">
        <v>2018</v>
      </c>
      <c r="B3" s="84" t="s">
        <v>13</v>
      </c>
      <c r="C3" s="156">
        <v>43195</v>
      </c>
      <c r="D3" s="157">
        <v>43193</v>
      </c>
      <c r="E3" s="156">
        <v>43193</v>
      </c>
      <c r="F3" s="157">
        <v>43193</v>
      </c>
      <c r="G3" s="156">
        <v>43193</v>
      </c>
      <c r="H3" s="159">
        <v>43200</v>
      </c>
      <c r="I3" s="157">
        <v>43195</v>
      </c>
      <c r="J3" s="156">
        <v>43195</v>
      </c>
      <c r="K3" s="157">
        <v>43195</v>
      </c>
      <c r="L3" s="156">
        <v>43208</v>
      </c>
      <c r="M3" s="157">
        <v>43208</v>
      </c>
      <c r="N3" s="156">
        <v>43208</v>
      </c>
      <c r="O3" s="157">
        <v>43208</v>
      </c>
      <c r="P3" s="156">
        <v>43208</v>
      </c>
      <c r="Q3" s="157">
        <v>43160</v>
      </c>
      <c r="R3" s="156">
        <v>43160</v>
      </c>
      <c r="S3" s="157">
        <v>43160</v>
      </c>
      <c r="T3" s="156">
        <v>43160</v>
      </c>
      <c r="U3" s="157">
        <v>43160</v>
      </c>
      <c r="V3" s="156">
        <v>43210</v>
      </c>
      <c r="W3" s="168">
        <v>43210</v>
      </c>
      <c r="X3" s="156">
        <v>43210</v>
      </c>
      <c r="Y3" s="168">
        <v>43210</v>
      </c>
      <c r="Z3" s="156">
        <v>43201</v>
      </c>
      <c r="AA3" s="157"/>
      <c r="AB3" s="156"/>
      <c r="AC3" s="156"/>
      <c r="AD3" s="130"/>
      <c r="AE3" s="130"/>
    </row>
    <row r="4" spans="1:31" ht="15" x14ac:dyDescent="0.25">
      <c r="B4" s="97">
        <v>1</v>
      </c>
      <c r="C4" s="152">
        <v>2</v>
      </c>
      <c r="D4" s="4">
        <v>0</v>
      </c>
      <c r="E4" s="152">
        <v>1</v>
      </c>
      <c r="F4" s="4">
        <v>0</v>
      </c>
      <c r="G4" s="152">
        <v>0</v>
      </c>
      <c r="H4" s="4">
        <v>0</v>
      </c>
      <c r="I4" s="4">
        <v>0</v>
      </c>
      <c r="J4" s="152">
        <v>0</v>
      </c>
      <c r="K4" s="4">
        <v>0</v>
      </c>
      <c r="L4" s="152">
        <v>0</v>
      </c>
      <c r="M4" s="4">
        <v>1</v>
      </c>
      <c r="N4" s="152">
        <v>0</v>
      </c>
      <c r="O4" s="4">
        <v>0</v>
      </c>
      <c r="P4" s="152">
        <v>0</v>
      </c>
      <c r="Q4" s="4">
        <v>0</v>
      </c>
      <c r="R4" s="152">
        <v>0</v>
      </c>
      <c r="S4" s="4">
        <v>0</v>
      </c>
      <c r="T4" s="152">
        <v>0</v>
      </c>
      <c r="U4" s="4">
        <v>0</v>
      </c>
      <c r="V4" s="152">
        <v>0</v>
      </c>
      <c r="W4" s="152">
        <v>0</v>
      </c>
      <c r="X4" s="152">
        <v>0</v>
      </c>
      <c r="Y4" s="152">
        <v>0</v>
      </c>
      <c r="Z4" s="152">
        <v>0</v>
      </c>
      <c r="AA4" s="4"/>
      <c r="AB4" s="152"/>
      <c r="AC4" s="152"/>
    </row>
    <row r="5" spans="1:31" ht="15" x14ac:dyDescent="0.25">
      <c r="B5" s="97">
        <f>1+B4</f>
        <v>2</v>
      </c>
      <c r="C5" s="4">
        <v>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/>
      <c r="AB5" s="4"/>
      <c r="AC5" s="4"/>
    </row>
    <row r="6" spans="1:31" ht="15" x14ac:dyDescent="0.25">
      <c r="B6" s="97">
        <f t="shared" ref="B6:B59" si="0">1+B5</f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/>
      <c r="AB6" s="4"/>
      <c r="AC6" s="4"/>
    </row>
    <row r="7" spans="1:31" ht="15" x14ac:dyDescent="0.25">
      <c r="B7" s="97">
        <f t="shared" si="0"/>
        <v>4</v>
      </c>
      <c r="C7" s="4">
        <v>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/>
      <c r="AB7" s="4"/>
      <c r="AC7" s="4"/>
    </row>
    <row r="8" spans="1:31" ht="15" x14ac:dyDescent="0.25">
      <c r="B8" s="97">
        <f t="shared" si="0"/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/>
      <c r="AB8" s="4"/>
      <c r="AC8" s="4"/>
    </row>
    <row r="9" spans="1:31" ht="15" x14ac:dyDescent="0.25">
      <c r="B9" s="97">
        <f t="shared" si="0"/>
        <v>6</v>
      </c>
      <c r="C9" s="4">
        <v>0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/>
      <c r="AB9" s="4"/>
      <c r="AC9" s="4"/>
    </row>
    <row r="10" spans="1:31" ht="15" x14ac:dyDescent="0.25">
      <c r="B10" s="97">
        <f t="shared" si="0"/>
        <v>7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/>
      <c r="AB10" s="4"/>
      <c r="AC10" s="4"/>
    </row>
    <row r="11" spans="1:31" ht="15" x14ac:dyDescent="0.25">
      <c r="B11" s="97">
        <f t="shared" si="0"/>
        <v>8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/>
      <c r="AB11" s="4"/>
      <c r="AC11" s="4"/>
    </row>
    <row r="12" spans="1:31" ht="15" x14ac:dyDescent="0.25">
      <c r="B12" s="97">
        <f t="shared" si="0"/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/>
      <c r="AB12" s="4"/>
      <c r="AC12" s="4"/>
    </row>
    <row r="13" spans="1:31" ht="15" x14ac:dyDescent="0.25">
      <c r="B13" s="97">
        <f t="shared" si="0"/>
        <v>10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/>
      <c r="AB13" s="4"/>
      <c r="AC13" s="4"/>
    </row>
    <row r="14" spans="1:31" ht="15" x14ac:dyDescent="0.25">
      <c r="B14" s="97">
        <f t="shared" si="0"/>
        <v>11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/>
      <c r="AB14" s="4"/>
      <c r="AC14" s="4"/>
    </row>
    <row r="15" spans="1:31" ht="15" x14ac:dyDescent="0.25">
      <c r="B15" s="97">
        <f t="shared" si="0"/>
        <v>12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/>
      <c r="AB15" s="4"/>
      <c r="AC15" s="4"/>
    </row>
    <row r="16" spans="1:31" ht="15" x14ac:dyDescent="0.25">
      <c r="B16" s="97">
        <f t="shared" si="0"/>
        <v>13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/>
      <c r="AB16" s="4"/>
      <c r="AC16" s="4"/>
    </row>
    <row r="17" spans="2:29" ht="15" x14ac:dyDescent="0.25">
      <c r="B17" s="97">
        <f t="shared" si="0"/>
        <v>14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/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/>
      <c r="AB17" s="4"/>
      <c r="AC17" s="4"/>
    </row>
    <row r="18" spans="2:29" ht="15" x14ac:dyDescent="0.25">
      <c r="B18" s="97">
        <f t="shared" si="0"/>
        <v>15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/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/>
      <c r="AB18" s="4"/>
      <c r="AC18" s="4"/>
    </row>
    <row r="19" spans="2:29" ht="15" x14ac:dyDescent="0.25">
      <c r="B19" s="97">
        <f t="shared" si="0"/>
        <v>16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/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/>
      <c r="AB19" s="4"/>
      <c r="AC19" s="4"/>
    </row>
    <row r="20" spans="2:29" ht="15" x14ac:dyDescent="0.25">
      <c r="B20" s="97">
        <f t="shared" si="0"/>
        <v>17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/>
      <c r="M20" s="4"/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/>
      <c r="AB20" s="4"/>
      <c r="AC20" s="4"/>
    </row>
    <row r="21" spans="2:29" ht="15" x14ac:dyDescent="0.25">
      <c r="B21" s="97">
        <f t="shared" si="0"/>
        <v>18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/>
      <c r="M21" s="4"/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/>
      <c r="AB21" s="4"/>
      <c r="AC21" s="4"/>
    </row>
    <row r="22" spans="2:29" ht="15" x14ac:dyDescent="0.25">
      <c r="B22" s="97">
        <f t="shared" si="0"/>
        <v>19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/>
      <c r="M22" s="4"/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/>
      <c r="AB22" s="4"/>
      <c r="AC22" s="4"/>
    </row>
    <row r="23" spans="2:29" ht="15" x14ac:dyDescent="0.25">
      <c r="B23" s="97">
        <f t="shared" si="0"/>
        <v>20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/>
      <c r="M23" s="4"/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/>
      <c r="AB23" s="4"/>
      <c r="AC23" s="4"/>
    </row>
    <row r="24" spans="2:29" ht="15" x14ac:dyDescent="0.25">
      <c r="B24" s="97">
        <f t="shared" si="0"/>
        <v>21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/>
      <c r="M24" s="4"/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/>
      <c r="AB24" s="4"/>
      <c r="AC24" s="4"/>
    </row>
    <row r="25" spans="2:29" ht="15" x14ac:dyDescent="0.25">
      <c r="B25" s="97">
        <f t="shared" si="0"/>
        <v>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</v>
      </c>
      <c r="L25" s="4"/>
      <c r="M25" s="4"/>
      <c r="N25" s="4">
        <v>0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/>
      <c r="AB25" s="4"/>
      <c r="AC25" s="4"/>
    </row>
    <row r="26" spans="2:29" ht="15" x14ac:dyDescent="0.25">
      <c r="B26" s="97">
        <f t="shared" si="0"/>
        <v>23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/>
      <c r="I26" s="4">
        <v>1</v>
      </c>
      <c r="J26" s="4">
        <v>0</v>
      </c>
      <c r="K26" s="4">
        <v>0</v>
      </c>
      <c r="L26" s="4"/>
      <c r="M26" s="4"/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/>
      <c r="AB26" s="4"/>
      <c r="AC26" s="4"/>
    </row>
    <row r="27" spans="2:29" ht="15" x14ac:dyDescent="0.25">
      <c r="B27" s="97">
        <f t="shared" si="0"/>
        <v>24</v>
      </c>
      <c r="C27" s="4">
        <v>0</v>
      </c>
      <c r="D27" s="4">
        <v>0</v>
      </c>
      <c r="E27" s="4">
        <v>0</v>
      </c>
      <c r="F27" s="4">
        <v>1</v>
      </c>
      <c r="G27" s="4">
        <v>1</v>
      </c>
      <c r="H27" s="4"/>
      <c r="I27" s="4">
        <v>0</v>
      </c>
      <c r="J27" s="4">
        <v>0</v>
      </c>
      <c r="K27" s="4">
        <v>1</v>
      </c>
      <c r="L27" s="4"/>
      <c r="M27" s="4"/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/>
      <c r="AB27" s="4"/>
      <c r="AC27" s="4"/>
    </row>
    <row r="28" spans="2:29" ht="15" x14ac:dyDescent="0.25">
      <c r="B28" s="97">
        <v>25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/>
      <c r="I28" s="4">
        <v>0</v>
      </c>
      <c r="J28" s="4">
        <v>0</v>
      </c>
      <c r="K28" s="4">
        <v>0</v>
      </c>
      <c r="L28" s="4"/>
      <c r="M28" s="4"/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/>
      <c r="AB28" s="4"/>
      <c r="AC28" s="4"/>
    </row>
    <row r="29" spans="2:29" ht="15" x14ac:dyDescent="0.25">
      <c r="B29" s="97">
        <v>26</v>
      </c>
      <c r="C29" s="4">
        <v>0</v>
      </c>
      <c r="D29" s="4"/>
      <c r="E29" s="4"/>
      <c r="F29" s="4">
        <v>0</v>
      </c>
      <c r="G29" s="4">
        <v>0</v>
      </c>
      <c r="H29" s="4"/>
      <c r="I29" s="4">
        <v>0</v>
      </c>
      <c r="J29" s="4">
        <v>0</v>
      </c>
      <c r="K29" s="4"/>
      <c r="L29" s="4"/>
      <c r="M29" s="4"/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/>
      <c r="AB29" s="4"/>
      <c r="AC29" s="4"/>
    </row>
    <row r="30" spans="2:29" ht="15" x14ac:dyDescent="0.25">
      <c r="B30" s="97">
        <v>27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v>0</v>
      </c>
      <c r="O30" s="4"/>
      <c r="P30" s="4">
        <v>0</v>
      </c>
      <c r="Q30" s="4"/>
      <c r="R30" s="4"/>
      <c r="S30" s="4"/>
      <c r="T30" s="4"/>
      <c r="U30" s="4"/>
      <c r="V30" s="4">
        <v>0</v>
      </c>
      <c r="W30" s="4">
        <v>0</v>
      </c>
      <c r="X30" s="4"/>
      <c r="Y30" s="4">
        <v>0</v>
      </c>
      <c r="Z30" s="4"/>
      <c r="AA30" s="4"/>
      <c r="AB30" s="4"/>
      <c r="AC30" s="4"/>
    </row>
    <row r="31" spans="2:29" ht="15" x14ac:dyDescent="0.25">
      <c r="B31" s="97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0</v>
      </c>
      <c r="O31" s="4"/>
      <c r="P31" s="4">
        <v>0</v>
      </c>
      <c r="Q31" s="4"/>
      <c r="R31" s="4"/>
      <c r="S31" s="4"/>
      <c r="T31" s="4"/>
      <c r="U31" s="4"/>
      <c r="V31" s="4">
        <v>0</v>
      </c>
      <c r="W31" s="4"/>
      <c r="X31" s="4"/>
      <c r="Y31" s="4"/>
      <c r="Z31" s="4"/>
      <c r="AA31" s="4"/>
      <c r="AB31" s="4"/>
      <c r="AC31" s="4"/>
    </row>
    <row r="32" spans="2:29" ht="15" x14ac:dyDescent="0.25">
      <c r="B32" s="97">
        <v>29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15" x14ac:dyDescent="0.25">
      <c r="B33" s="97">
        <v>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28"/>
      <c r="S33" s="128"/>
      <c r="T33" s="128"/>
      <c r="U33" s="128"/>
      <c r="V33" s="128"/>
      <c r="W33" s="4"/>
      <c r="X33" s="4"/>
      <c r="Y33" s="4"/>
      <c r="Z33" s="4"/>
      <c r="AA33" s="4"/>
      <c r="AB33" s="4"/>
      <c r="AC33" s="4"/>
    </row>
    <row r="34" spans="2:29" ht="15" x14ac:dyDescent="0.25">
      <c r="B34" s="97">
        <v>31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28"/>
      <c r="S34" s="128"/>
      <c r="T34" s="128"/>
      <c r="U34" s="128"/>
      <c r="V34" s="128"/>
      <c r="W34" s="4"/>
      <c r="X34" s="4"/>
      <c r="Y34" s="4"/>
      <c r="Z34" s="4"/>
      <c r="AA34" s="4"/>
      <c r="AB34" s="4"/>
      <c r="AC34" s="4"/>
    </row>
    <row r="35" spans="2:29" ht="15" x14ac:dyDescent="0.25">
      <c r="B35" s="97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28"/>
      <c r="S35" s="128"/>
      <c r="T35" s="128"/>
      <c r="U35" s="128"/>
      <c r="V35" s="128"/>
      <c r="W35" s="4"/>
      <c r="X35" s="4"/>
      <c r="Y35" s="4"/>
      <c r="Z35" s="4"/>
      <c r="AA35" s="4"/>
      <c r="AB35" s="4"/>
      <c r="AC35" s="4"/>
    </row>
    <row r="36" spans="2:29" ht="15" x14ac:dyDescent="0.25">
      <c r="B36" s="97">
        <v>33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28"/>
      <c r="S36" s="128"/>
      <c r="T36" s="128"/>
      <c r="U36" s="128"/>
      <c r="V36" s="128"/>
      <c r="W36" s="4"/>
      <c r="X36" s="4"/>
      <c r="Y36" s="4"/>
      <c r="Z36" s="4"/>
      <c r="AA36" s="4"/>
      <c r="AB36" s="4"/>
      <c r="AC36" s="4"/>
    </row>
    <row r="37" spans="2:29" ht="15" x14ac:dyDescent="0.25">
      <c r="B37" s="97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28"/>
      <c r="S37" s="128"/>
      <c r="T37" s="128"/>
      <c r="U37" s="128"/>
      <c r="V37" s="128"/>
      <c r="W37" s="4"/>
      <c r="X37" s="4"/>
      <c r="Y37" s="4"/>
      <c r="Z37" s="4"/>
      <c r="AA37" s="4"/>
      <c r="AB37" s="4"/>
      <c r="AC37" s="4"/>
    </row>
    <row r="38" spans="2:29" ht="15" x14ac:dyDescent="0.25">
      <c r="B38" s="97">
        <v>35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28"/>
      <c r="S38" s="128"/>
      <c r="T38" s="128"/>
      <c r="U38" s="128"/>
      <c r="V38" s="128"/>
      <c r="W38" s="4"/>
      <c r="X38" s="4"/>
      <c r="Y38" s="4"/>
      <c r="Z38" s="4"/>
      <c r="AA38" s="4"/>
      <c r="AB38" s="4"/>
      <c r="AC38" s="4"/>
    </row>
    <row r="39" spans="2:29" ht="15" x14ac:dyDescent="0.25">
      <c r="B39" s="97">
        <v>36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28"/>
      <c r="S39" s="128"/>
      <c r="T39" s="128"/>
      <c r="U39" s="128"/>
      <c r="V39" s="128"/>
      <c r="W39" s="4"/>
      <c r="X39" s="4"/>
      <c r="Y39" s="4"/>
      <c r="Z39" s="4"/>
      <c r="AA39" s="4"/>
      <c r="AB39" s="4"/>
      <c r="AC39" s="4"/>
    </row>
    <row r="40" spans="2:29" ht="15" x14ac:dyDescent="0.25">
      <c r="B40" s="97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28"/>
      <c r="S40" s="128"/>
      <c r="T40" s="128"/>
      <c r="U40" s="128"/>
      <c r="V40" s="128"/>
      <c r="W40" s="4"/>
      <c r="X40" s="4"/>
      <c r="Y40" s="4"/>
      <c r="Z40" s="4"/>
      <c r="AA40" s="4"/>
      <c r="AB40" s="4"/>
      <c r="AC40" s="4"/>
    </row>
    <row r="41" spans="2:29" ht="15" x14ac:dyDescent="0.25">
      <c r="B41" s="97">
        <v>38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28"/>
      <c r="S41" s="128"/>
      <c r="T41" s="128"/>
      <c r="U41" s="128"/>
      <c r="V41" s="128"/>
      <c r="W41" s="4"/>
      <c r="X41" s="4"/>
      <c r="Y41" s="4"/>
      <c r="Z41" s="4"/>
      <c r="AA41" s="4"/>
      <c r="AB41" s="4"/>
      <c r="AC41" s="4"/>
    </row>
    <row r="42" spans="2:29" ht="15" x14ac:dyDescent="0.25">
      <c r="B42" s="97">
        <f t="shared" si="0"/>
        <v>39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28"/>
      <c r="S42" s="128"/>
      <c r="T42" s="128"/>
      <c r="U42" s="128"/>
      <c r="V42" s="128"/>
      <c r="W42" s="4"/>
      <c r="X42" s="4"/>
      <c r="Y42" s="4"/>
      <c r="Z42" s="4"/>
      <c r="AA42" s="4"/>
      <c r="AB42" s="4"/>
      <c r="AC42" s="4"/>
    </row>
    <row r="43" spans="2:29" ht="15" x14ac:dyDescent="0.25">
      <c r="B43" s="97">
        <f t="shared" si="0"/>
        <v>40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28"/>
      <c r="S43" s="128"/>
      <c r="T43" s="128"/>
      <c r="U43" s="128"/>
      <c r="V43" s="128"/>
      <c r="W43" s="4"/>
      <c r="X43" s="4"/>
      <c r="Y43" s="4"/>
      <c r="Z43" s="4"/>
      <c r="AA43" s="4"/>
      <c r="AB43" s="4"/>
      <c r="AC43" s="4"/>
    </row>
    <row r="44" spans="2:29" ht="15" x14ac:dyDescent="0.25">
      <c r="B44" s="97">
        <f t="shared" si="0"/>
        <v>41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28"/>
      <c r="S44" s="128"/>
      <c r="T44" s="128"/>
      <c r="U44" s="128"/>
      <c r="V44" s="128"/>
      <c r="W44" s="4"/>
      <c r="X44" s="4"/>
      <c r="Y44" s="4"/>
      <c r="Z44" s="4"/>
      <c r="AA44" s="4"/>
      <c r="AB44" s="4"/>
      <c r="AC44" s="4"/>
    </row>
    <row r="45" spans="2:29" ht="15" x14ac:dyDescent="0.25">
      <c r="B45" s="97">
        <f t="shared" si="0"/>
        <v>42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28"/>
      <c r="S45" s="128"/>
      <c r="T45" s="128"/>
      <c r="U45" s="128"/>
      <c r="V45" s="128"/>
      <c r="W45" s="4"/>
      <c r="X45" s="4"/>
      <c r="Y45" s="4"/>
      <c r="Z45" s="4"/>
      <c r="AA45" s="4"/>
      <c r="AB45" s="4"/>
      <c r="AC45" s="4"/>
    </row>
    <row r="46" spans="2:29" ht="15" x14ac:dyDescent="0.25">
      <c r="B46" s="97">
        <v>43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28"/>
      <c r="S46" s="128"/>
      <c r="T46" s="128"/>
      <c r="U46" s="128"/>
      <c r="V46" s="128"/>
      <c r="W46" s="4"/>
      <c r="X46" s="4"/>
      <c r="Y46" s="4"/>
      <c r="Z46" s="4"/>
      <c r="AA46" s="4"/>
      <c r="AB46" s="4"/>
      <c r="AC46" s="4"/>
    </row>
    <row r="47" spans="2:29" ht="15" x14ac:dyDescent="0.25">
      <c r="B47" s="97">
        <v>44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28"/>
      <c r="S47" s="128"/>
      <c r="T47" s="128"/>
      <c r="U47" s="128"/>
      <c r="V47" s="128"/>
      <c r="W47" s="4"/>
      <c r="X47" s="4"/>
      <c r="Y47" s="4"/>
      <c r="Z47" s="4"/>
      <c r="AA47" s="4"/>
      <c r="AB47" s="4"/>
      <c r="AC47" s="4"/>
    </row>
    <row r="48" spans="2:29" ht="15" x14ac:dyDescent="0.25">
      <c r="B48" s="97">
        <v>45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28"/>
      <c r="S48" s="128"/>
      <c r="T48" s="128"/>
      <c r="U48" s="128"/>
      <c r="V48" s="128"/>
      <c r="W48" s="4"/>
      <c r="X48" s="4"/>
      <c r="Y48" s="4"/>
      <c r="Z48" s="4"/>
      <c r="AA48" s="4"/>
      <c r="AB48" s="4"/>
      <c r="AC48" s="4"/>
    </row>
    <row r="49" spans="2:36" ht="15.75" x14ac:dyDescent="0.25">
      <c r="B49" s="97">
        <v>46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28"/>
      <c r="S49" s="128"/>
      <c r="T49" s="128"/>
      <c r="U49" s="128"/>
      <c r="V49" s="128"/>
      <c r="W49" s="4"/>
      <c r="X49" s="4"/>
      <c r="Y49" s="4"/>
      <c r="Z49" s="4"/>
      <c r="AA49" s="4"/>
      <c r="AB49" s="4"/>
      <c r="AC49" s="4"/>
      <c r="AE49" s="121"/>
    </row>
    <row r="50" spans="2:36" ht="15.75" x14ac:dyDescent="0.25">
      <c r="B50" s="97">
        <v>47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28"/>
      <c r="S50" s="128"/>
      <c r="T50" s="128"/>
      <c r="U50" s="128"/>
      <c r="V50" s="128"/>
      <c r="W50" s="4"/>
      <c r="X50" s="4"/>
      <c r="Y50" s="4"/>
      <c r="Z50" s="4"/>
      <c r="AA50" s="4"/>
      <c r="AB50" s="4"/>
      <c r="AC50" s="4"/>
      <c r="AF50" s="122"/>
      <c r="AG50" s="122"/>
      <c r="AH50" s="122"/>
      <c r="AI50" s="122"/>
    </row>
    <row r="51" spans="2:36" ht="15.75" x14ac:dyDescent="0.25">
      <c r="B51" s="97">
        <v>48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28"/>
      <c r="S51" s="128"/>
      <c r="T51" s="128"/>
      <c r="U51" s="128"/>
      <c r="V51" s="128"/>
      <c r="W51" s="4"/>
      <c r="X51" s="4"/>
      <c r="Y51" s="4"/>
      <c r="Z51" s="4"/>
      <c r="AA51" s="4"/>
      <c r="AB51" s="4"/>
      <c r="AC51" s="4"/>
      <c r="AF51" s="123"/>
      <c r="AG51" s="121"/>
      <c r="AH51" s="121"/>
      <c r="AI51" s="121"/>
    </row>
    <row r="52" spans="2:36" ht="15.75" x14ac:dyDescent="0.25">
      <c r="B52" s="97">
        <v>49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28"/>
      <c r="S52" s="128"/>
      <c r="T52" s="128"/>
      <c r="U52" s="128"/>
      <c r="V52" s="128"/>
      <c r="W52" s="4"/>
      <c r="X52" s="4"/>
      <c r="Y52" s="4"/>
      <c r="Z52" s="4"/>
      <c r="AA52" s="4"/>
      <c r="AB52" s="4"/>
      <c r="AC52" s="4"/>
      <c r="AF52" s="123"/>
      <c r="AG52" s="121"/>
      <c r="AH52" s="121"/>
      <c r="AI52" s="121"/>
    </row>
    <row r="53" spans="2:36" ht="15.75" x14ac:dyDescent="0.25">
      <c r="B53" s="97">
        <f t="shared" si="0"/>
        <v>50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28"/>
      <c r="S53" s="128"/>
      <c r="T53" s="128"/>
      <c r="U53" s="128"/>
      <c r="V53" s="128"/>
      <c r="W53" s="4"/>
      <c r="X53" s="4"/>
      <c r="Y53" s="4"/>
      <c r="Z53" s="4"/>
      <c r="AA53" s="4"/>
      <c r="AB53" s="4"/>
      <c r="AC53" s="4"/>
      <c r="AI53" s="121"/>
      <c r="AJ53" s="124"/>
    </row>
    <row r="54" spans="2:36" ht="15" x14ac:dyDescent="0.25">
      <c r="B54" s="97">
        <f t="shared" si="0"/>
        <v>51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28"/>
      <c r="S54" s="128"/>
      <c r="T54" s="128"/>
      <c r="U54" s="128"/>
      <c r="V54" s="128"/>
      <c r="W54" s="4"/>
      <c r="X54" s="4"/>
      <c r="Y54" s="4"/>
      <c r="Z54" s="4"/>
      <c r="AA54" s="4"/>
      <c r="AB54" s="4"/>
      <c r="AC54" s="4"/>
    </row>
    <row r="55" spans="2:36" ht="15" x14ac:dyDescent="0.25">
      <c r="B55" s="97">
        <f t="shared" si="0"/>
        <v>52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28"/>
      <c r="S55" s="128"/>
      <c r="T55" s="128"/>
      <c r="U55" s="128"/>
      <c r="V55" s="128"/>
      <c r="W55" s="4"/>
      <c r="X55" s="4"/>
      <c r="Y55" s="4"/>
      <c r="Z55" s="4"/>
      <c r="AA55" s="4"/>
      <c r="AB55" s="4"/>
      <c r="AC55" s="4"/>
    </row>
    <row r="56" spans="2:36" ht="15" x14ac:dyDescent="0.25">
      <c r="B56" s="97">
        <f t="shared" si="0"/>
        <v>53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28"/>
      <c r="S56" s="128"/>
      <c r="T56" s="128"/>
      <c r="U56" s="128"/>
      <c r="V56" s="128"/>
      <c r="W56" s="4"/>
      <c r="X56" s="4"/>
      <c r="Y56" s="4"/>
      <c r="Z56" s="4"/>
      <c r="AA56" s="4"/>
      <c r="AB56" s="4"/>
      <c r="AC56" s="4"/>
    </row>
    <row r="57" spans="2:36" ht="15.75" x14ac:dyDescent="0.25">
      <c r="B57" s="97">
        <f t="shared" si="0"/>
        <v>54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28"/>
      <c r="S57" s="128"/>
      <c r="T57" s="128"/>
      <c r="U57" s="128"/>
      <c r="V57" s="128"/>
      <c r="W57" s="4"/>
      <c r="X57" s="4"/>
      <c r="Y57" s="4"/>
      <c r="Z57" s="4"/>
      <c r="AA57" s="4"/>
      <c r="AB57" s="4"/>
      <c r="AC57" s="4"/>
      <c r="AE57" s="28" t="s">
        <v>2</v>
      </c>
      <c r="AF57" s="29"/>
      <c r="AG57" s="29"/>
      <c r="AH57" s="90"/>
      <c r="AI57" s="121"/>
      <c r="AJ57" s="124"/>
    </row>
    <row r="58" spans="2:36" ht="15" x14ac:dyDescent="0.25">
      <c r="B58" s="97">
        <f t="shared" si="0"/>
        <v>55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28"/>
      <c r="S58" s="128"/>
      <c r="T58" s="128"/>
      <c r="U58" s="128"/>
      <c r="V58" s="128"/>
      <c r="W58" s="4"/>
      <c r="X58" s="4"/>
      <c r="Y58" s="4"/>
      <c r="Z58" s="4"/>
      <c r="AA58" s="4"/>
      <c r="AB58" s="4"/>
      <c r="AC58" s="4"/>
      <c r="AE58" s="79" t="s">
        <v>3</v>
      </c>
      <c r="AF58" s="80">
        <f>COUNT(C64:AA64)</f>
        <v>24</v>
      </c>
      <c r="AG58" s="29"/>
      <c r="AH58" s="91"/>
    </row>
    <row r="59" spans="2:36" ht="15.75" x14ac:dyDescent="0.25">
      <c r="B59" s="97">
        <f t="shared" si="0"/>
        <v>56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28"/>
      <c r="S59" s="128"/>
      <c r="T59" s="128"/>
      <c r="U59" s="128"/>
      <c r="V59" s="128"/>
      <c r="W59" s="4"/>
      <c r="X59" s="4"/>
      <c r="Y59" s="4"/>
      <c r="Z59" s="4"/>
      <c r="AA59" s="4"/>
      <c r="AB59" s="4"/>
      <c r="AC59" s="4"/>
      <c r="AD59" s="1"/>
      <c r="AE59" s="79" t="s">
        <v>36</v>
      </c>
      <c r="AF59" s="99">
        <f>AB65</f>
        <v>600</v>
      </c>
      <c r="AG59" s="29"/>
      <c r="AH59" s="91"/>
      <c r="AI59" s="126"/>
      <c r="AJ59" s="124"/>
    </row>
    <row r="60" spans="2:36" ht="15" x14ac:dyDescent="0.25">
      <c r="B60" s="97">
        <v>57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28"/>
      <c r="S60" s="128"/>
      <c r="T60" s="128"/>
      <c r="U60" s="128"/>
      <c r="V60" s="128"/>
      <c r="W60" s="4"/>
      <c r="X60" s="4"/>
      <c r="Y60" s="4"/>
      <c r="Z60" s="4"/>
      <c r="AA60" s="4"/>
      <c r="AB60" s="4"/>
      <c r="AC60" s="4"/>
      <c r="AD60" s="1"/>
      <c r="AE60" s="79"/>
      <c r="AF60" s="99"/>
      <c r="AG60" s="29"/>
      <c r="AH60" s="91"/>
    </row>
    <row r="61" spans="2:36" ht="15" x14ac:dyDescent="0.25">
      <c r="B61" s="97">
        <v>58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28"/>
      <c r="S61" s="128"/>
      <c r="T61" s="128"/>
      <c r="U61" s="128"/>
      <c r="V61" s="128"/>
      <c r="W61" s="4"/>
      <c r="X61" s="4"/>
      <c r="Y61" s="4"/>
      <c r="Z61" s="4"/>
      <c r="AA61" s="4"/>
      <c r="AB61" s="4"/>
      <c r="AC61" s="4"/>
      <c r="AD61" s="1"/>
      <c r="AE61" s="79"/>
      <c r="AF61" s="99"/>
      <c r="AG61" s="29"/>
      <c r="AH61" s="91"/>
    </row>
    <row r="62" spans="2:36" ht="15" x14ac:dyDescent="0.25">
      <c r="B62" s="97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28"/>
      <c r="S62" s="128"/>
      <c r="T62" s="128"/>
      <c r="U62" s="128"/>
      <c r="V62" s="128"/>
      <c r="W62" s="4"/>
      <c r="X62" s="4"/>
      <c r="Y62" s="4"/>
      <c r="Z62" s="4"/>
      <c r="AA62" s="4"/>
      <c r="AB62" s="4"/>
      <c r="AC62" s="4"/>
      <c r="AD62" s="1"/>
      <c r="AE62" s="79"/>
      <c r="AF62" s="99"/>
      <c r="AG62" s="29"/>
      <c r="AH62" s="91"/>
    </row>
    <row r="63" spans="2:36" ht="15" x14ac:dyDescent="0.25">
      <c r="B63" s="97">
        <v>60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28"/>
      <c r="S63" s="128"/>
      <c r="T63" s="128"/>
      <c r="U63" s="128"/>
      <c r="V63" s="128"/>
      <c r="W63" s="4"/>
      <c r="X63" s="4"/>
      <c r="Y63" s="4"/>
      <c r="Z63" s="4"/>
      <c r="AA63" s="4"/>
      <c r="AB63" s="4"/>
      <c r="AC63" s="4"/>
      <c r="AD63" s="5"/>
      <c r="AE63" s="79" t="s">
        <v>4</v>
      </c>
      <c r="AF63" s="80">
        <f>SUM(C64:V64)</f>
        <v>52</v>
      </c>
      <c r="AG63" s="29"/>
      <c r="AH63" s="91"/>
    </row>
    <row r="64" spans="2:36" ht="15" x14ac:dyDescent="0.25">
      <c r="B64" s="92" t="s">
        <v>0</v>
      </c>
      <c r="C64" s="82">
        <f t="shared" ref="C64:L64" si="1">SUM(C4:C63)</f>
        <v>11</v>
      </c>
      <c r="D64" s="82">
        <f t="shared" si="1"/>
        <v>2</v>
      </c>
      <c r="E64" s="82">
        <f t="shared" si="1"/>
        <v>3</v>
      </c>
      <c r="F64" s="82">
        <f t="shared" si="1"/>
        <v>2</v>
      </c>
      <c r="G64" s="82">
        <f t="shared" si="1"/>
        <v>4</v>
      </c>
      <c r="H64" s="82">
        <f t="shared" si="1"/>
        <v>1</v>
      </c>
      <c r="I64" s="82">
        <f t="shared" si="1"/>
        <v>1</v>
      </c>
      <c r="J64" s="82">
        <f t="shared" si="1"/>
        <v>3</v>
      </c>
      <c r="K64" s="82">
        <f t="shared" si="1"/>
        <v>4</v>
      </c>
      <c r="L64" s="82">
        <f t="shared" si="1"/>
        <v>1</v>
      </c>
      <c r="M64" s="82">
        <f t="shared" ref="M64:Z64" si="2">SUM(M4:M63)</f>
        <v>2</v>
      </c>
      <c r="N64" s="82">
        <f t="shared" si="2"/>
        <v>4</v>
      </c>
      <c r="O64" s="82">
        <f t="shared" si="2"/>
        <v>2</v>
      </c>
      <c r="P64" s="82">
        <f t="shared" si="2"/>
        <v>1</v>
      </c>
      <c r="Q64" s="82">
        <f t="shared" si="2"/>
        <v>5</v>
      </c>
      <c r="R64" s="82">
        <f t="shared" si="2"/>
        <v>2</v>
      </c>
      <c r="S64" s="82">
        <f t="shared" si="2"/>
        <v>2</v>
      </c>
      <c r="T64" s="82">
        <f t="shared" si="2"/>
        <v>1</v>
      </c>
      <c r="U64" s="82">
        <f t="shared" si="2"/>
        <v>1</v>
      </c>
      <c r="V64" s="82">
        <f t="shared" si="2"/>
        <v>0</v>
      </c>
      <c r="W64" s="82">
        <f t="shared" si="2"/>
        <v>0</v>
      </c>
      <c r="X64" s="82">
        <f t="shared" si="2"/>
        <v>0</v>
      </c>
      <c r="Y64" s="82">
        <f t="shared" si="2"/>
        <v>0</v>
      </c>
      <c r="Z64" s="82">
        <f t="shared" si="2"/>
        <v>0</v>
      </c>
      <c r="AA64" s="82"/>
      <c r="AB64" s="87">
        <f>SUM(C64:AA64)</f>
        <v>52</v>
      </c>
      <c r="AC64" s="7"/>
      <c r="AD64" s="8"/>
      <c r="AE64" s="79" t="s">
        <v>5</v>
      </c>
      <c r="AF64" s="81">
        <f>AVERAGE(C64:V64)</f>
        <v>2.6</v>
      </c>
      <c r="AG64" s="29"/>
      <c r="AH64" s="91"/>
    </row>
    <row r="65" spans="1:35" ht="15" x14ac:dyDescent="0.25">
      <c r="B65" s="92" t="s">
        <v>31</v>
      </c>
      <c r="C65" s="82">
        <f t="shared" ref="C65:L65" si="3">COUNT(C4:C63)</f>
        <v>26</v>
      </c>
      <c r="D65" s="82">
        <f t="shared" si="3"/>
        <v>25</v>
      </c>
      <c r="E65" s="82">
        <f t="shared" si="3"/>
        <v>25</v>
      </c>
      <c r="F65" s="82">
        <f t="shared" si="3"/>
        <v>26</v>
      </c>
      <c r="G65" s="82">
        <f t="shared" si="3"/>
        <v>26</v>
      </c>
      <c r="H65" s="82">
        <f t="shared" si="3"/>
        <v>22</v>
      </c>
      <c r="I65" s="82">
        <f t="shared" si="3"/>
        <v>26</v>
      </c>
      <c r="J65" s="82">
        <f t="shared" si="3"/>
        <v>26</v>
      </c>
      <c r="K65" s="82">
        <f t="shared" si="3"/>
        <v>25</v>
      </c>
      <c r="L65" s="82">
        <f t="shared" si="3"/>
        <v>13</v>
      </c>
      <c r="M65" s="82">
        <f t="shared" ref="M65:Z65" si="4">COUNT(M4:M63)</f>
        <v>14</v>
      </c>
      <c r="N65" s="82">
        <f t="shared" si="4"/>
        <v>28</v>
      </c>
      <c r="O65" s="82">
        <f t="shared" si="4"/>
        <v>26</v>
      </c>
      <c r="P65" s="82">
        <f t="shared" si="4"/>
        <v>28</v>
      </c>
      <c r="Q65" s="82">
        <f t="shared" si="4"/>
        <v>26</v>
      </c>
      <c r="R65" s="82">
        <f t="shared" si="4"/>
        <v>26</v>
      </c>
      <c r="S65" s="82">
        <f t="shared" si="4"/>
        <v>26</v>
      </c>
      <c r="T65" s="82">
        <f t="shared" si="4"/>
        <v>26</v>
      </c>
      <c r="U65" s="82">
        <f t="shared" si="4"/>
        <v>26</v>
      </c>
      <c r="V65" s="82">
        <f t="shared" si="4"/>
        <v>28</v>
      </c>
      <c r="W65" s="82">
        <f t="shared" si="4"/>
        <v>27</v>
      </c>
      <c r="X65" s="82">
        <f t="shared" si="4"/>
        <v>26</v>
      </c>
      <c r="Y65" s="82">
        <f t="shared" si="4"/>
        <v>27</v>
      </c>
      <c r="Z65" s="82">
        <f t="shared" si="4"/>
        <v>26</v>
      </c>
      <c r="AA65" s="82"/>
      <c r="AB65" s="87">
        <f>SUM(C65:AA65)</f>
        <v>600</v>
      </c>
      <c r="AC65" s="7"/>
      <c r="AD65" s="8"/>
      <c r="AE65" s="79" t="s">
        <v>35</v>
      </c>
      <c r="AF65" s="81">
        <f>AVERAGE(C68:V68)</f>
        <v>2.3357284308611743E-2</v>
      </c>
      <c r="AG65" s="29"/>
      <c r="AH65" s="91"/>
    </row>
    <row r="66" spans="1:35" ht="17.25" x14ac:dyDescent="0.25">
      <c r="B66" s="92" t="s">
        <v>32</v>
      </c>
      <c r="C66" s="82">
        <f>C65*4.52</f>
        <v>117.51999999999998</v>
      </c>
      <c r="D66" s="82">
        <f t="shared" ref="D66:Z66" si="5">D65*4.52</f>
        <v>112.99999999999999</v>
      </c>
      <c r="E66" s="82">
        <f t="shared" si="5"/>
        <v>112.99999999999999</v>
      </c>
      <c r="F66" s="82">
        <f t="shared" si="5"/>
        <v>117.51999999999998</v>
      </c>
      <c r="G66" s="82">
        <f t="shared" si="5"/>
        <v>117.51999999999998</v>
      </c>
      <c r="H66" s="82">
        <f t="shared" si="5"/>
        <v>99.44</v>
      </c>
      <c r="I66" s="82">
        <f t="shared" si="5"/>
        <v>117.51999999999998</v>
      </c>
      <c r="J66" s="82">
        <f t="shared" si="5"/>
        <v>117.51999999999998</v>
      </c>
      <c r="K66" s="82">
        <f t="shared" si="5"/>
        <v>112.99999999999999</v>
      </c>
      <c r="L66" s="82">
        <f t="shared" si="5"/>
        <v>58.759999999999991</v>
      </c>
      <c r="M66" s="82">
        <f t="shared" si="5"/>
        <v>63.279999999999994</v>
      </c>
      <c r="N66" s="82">
        <f t="shared" si="5"/>
        <v>126.55999999999999</v>
      </c>
      <c r="O66" s="82">
        <f t="shared" si="5"/>
        <v>117.51999999999998</v>
      </c>
      <c r="P66" s="82">
        <f t="shared" si="5"/>
        <v>126.55999999999999</v>
      </c>
      <c r="Q66" s="82">
        <f t="shared" si="5"/>
        <v>117.51999999999998</v>
      </c>
      <c r="R66" s="82">
        <f t="shared" si="5"/>
        <v>117.51999999999998</v>
      </c>
      <c r="S66" s="82">
        <f t="shared" si="5"/>
        <v>117.51999999999998</v>
      </c>
      <c r="T66" s="82">
        <f t="shared" si="5"/>
        <v>117.51999999999998</v>
      </c>
      <c r="U66" s="82">
        <f t="shared" si="5"/>
        <v>117.51999999999998</v>
      </c>
      <c r="V66" s="82">
        <f t="shared" si="5"/>
        <v>126.55999999999999</v>
      </c>
      <c r="W66" s="82">
        <f t="shared" si="5"/>
        <v>122.03999999999999</v>
      </c>
      <c r="X66" s="82">
        <f t="shared" si="5"/>
        <v>117.51999999999998</v>
      </c>
      <c r="Y66" s="82">
        <f t="shared" si="5"/>
        <v>122.03999999999999</v>
      </c>
      <c r="Z66" s="82">
        <f t="shared" si="5"/>
        <v>117.51999999999998</v>
      </c>
      <c r="AA66" s="82"/>
      <c r="AB66" s="82">
        <f>AB65*4.52</f>
        <v>2711.9999999999995</v>
      </c>
      <c r="AC66" s="7"/>
      <c r="AD66" s="8"/>
      <c r="AE66" s="79" t="s">
        <v>6</v>
      </c>
      <c r="AF66" s="100">
        <f>VAR(C68:V68)</f>
        <v>3.98320008332172E-4</v>
      </c>
      <c r="AG66" s="29"/>
      <c r="AH66" s="91"/>
    </row>
    <row r="67" spans="1:35" ht="15" x14ac:dyDescent="0.25">
      <c r="B67" s="92" t="s">
        <v>37</v>
      </c>
      <c r="C67" s="82">
        <f>C66/1000000</f>
        <v>1.1751999999999999E-4</v>
      </c>
      <c r="D67" s="82">
        <f t="shared" ref="D67:AB67" si="6">D66/1000000</f>
        <v>1.1299999999999998E-4</v>
      </c>
      <c r="E67" s="82">
        <f t="shared" si="6"/>
        <v>1.1299999999999998E-4</v>
      </c>
      <c r="F67" s="82">
        <f t="shared" si="6"/>
        <v>1.1751999999999999E-4</v>
      </c>
      <c r="G67" s="82">
        <f t="shared" si="6"/>
        <v>1.1751999999999999E-4</v>
      </c>
      <c r="H67" s="82">
        <f t="shared" si="6"/>
        <v>9.9439999999999997E-5</v>
      </c>
      <c r="I67" s="82">
        <f t="shared" si="6"/>
        <v>1.1751999999999999E-4</v>
      </c>
      <c r="J67" s="82">
        <f t="shared" si="6"/>
        <v>1.1751999999999999E-4</v>
      </c>
      <c r="K67" s="82">
        <f t="shared" si="6"/>
        <v>1.1299999999999998E-4</v>
      </c>
      <c r="L67" s="82">
        <f t="shared" si="6"/>
        <v>5.8759999999999993E-5</v>
      </c>
      <c r="M67" s="82">
        <f t="shared" si="6"/>
        <v>6.327999999999999E-5</v>
      </c>
      <c r="N67" s="82">
        <f t="shared" si="6"/>
        <v>1.2655999999999998E-4</v>
      </c>
      <c r="O67" s="82">
        <f t="shared" si="6"/>
        <v>1.1751999999999999E-4</v>
      </c>
      <c r="P67" s="82">
        <f t="shared" si="6"/>
        <v>1.2655999999999998E-4</v>
      </c>
      <c r="Q67" s="82">
        <f t="shared" si="6"/>
        <v>1.1751999999999999E-4</v>
      </c>
      <c r="R67" s="82">
        <f t="shared" si="6"/>
        <v>1.1751999999999999E-4</v>
      </c>
      <c r="S67" s="82">
        <f t="shared" si="6"/>
        <v>1.1751999999999999E-4</v>
      </c>
      <c r="T67" s="82">
        <f t="shared" si="6"/>
        <v>1.1751999999999999E-4</v>
      </c>
      <c r="U67" s="82">
        <f t="shared" si="6"/>
        <v>1.1751999999999999E-4</v>
      </c>
      <c r="V67" s="82">
        <f t="shared" si="6"/>
        <v>1.2655999999999998E-4</v>
      </c>
      <c r="W67" s="82">
        <f t="shared" si="6"/>
        <v>1.2203999999999999E-4</v>
      </c>
      <c r="X67" s="82">
        <f t="shared" si="6"/>
        <v>1.1751999999999999E-4</v>
      </c>
      <c r="Y67" s="82">
        <f t="shared" si="6"/>
        <v>1.2203999999999999E-4</v>
      </c>
      <c r="Z67" s="82">
        <f t="shared" si="6"/>
        <v>1.1751999999999999E-4</v>
      </c>
      <c r="AA67" s="82"/>
      <c r="AB67" s="82">
        <f t="shared" si="6"/>
        <v>2.7119999999999996E-3</v>
      </c>
      <c r="AC67" s="7"/>
      <c r="AD67" s="8"/>
      <c r="AE67" s="79"/>
      <c r="AF67" s="100"/>
      <c r="AG67" s="29"/>
      <c r="AH67" s="91"/>
    </row>
    <row r="68" spans="1:35" ht="15" x14ac:dyDescent="0.25">
      <c r="B68" s="92" t="s">
        <v>33</v>
      </c>
      <c r="C68" s="83">
        <f>C64/C66</f>
        <v>9.3601089176310423E-2</v>
      </c>
      <c r="D68" s="83">
        <f t="shared" ref="D68:AB68" si="7">D64/D66</f>
        <v>1.7699115044247791E-2</v>
      </c>
      <c r="E68" s="83">
        <f t="shared" si="7"/>
        <v>2.6548672566371685E-2</v>
      </c>
      <c r="F68" s="83">
        <f t="shared" si="7"/>
        <v>1.7018379850238258E-2</v>
      </c>
      <c r="G68" s="83">
        <f t="shared" si="7"/>
        <v>3.4036759700476517E-2</v>
      </c>
      <c r="H68" s="83">
        <f t="shared" si="7"/>
        <v>1.0056315366049879E-2</v>
      </c>
      <c r="I68" s="83">
        <f t="shared" si="7"/>
        <v>8.5091899251191292E-3</v>
      </c>
      <c r="J68" s="83">
        <f t="shared" si="7"/>
        <v>2.5527569775357389E-2</v>
      </c>
      <c r="K68" s="83">
        <f t="shared" si="7"/>
        <v>3.5398230088495582E-2</v>
      </c>
      <c r="L68" s="83">
        <f t="shared" si="7"/>
        <v>1.7018379850238258E-2</v>
      </c>
      <c r="M68" s="83">
        <f t="shared" si="7"/>
        <v>3.160556257901391E-2</v>
      </c>
      <c r="N68" s="83">
        <f t="shared" si="7"/>
        <v>3.160556257901391E-2</v>
      </c>
      <c r="O68" s="83">
        <f t="shared" si="7"/>
        <v>1.7018379850238258E-2</v>
      </c>
      <c r="P68" s="83">
        <f t="shared" si="7"/>
        <v>7.9013906447534775E-3</v>
      </c>
      <c r="Q68" s="83">
        <f t="shared" si="7"/>
        <v>4.2545949625595651E-2</v>
      </c>
      <c r="R68" s="83">
        <f t="shared" si="7"/>
        <v>1.7018379850238258E-2</v>
      </c>
      <c r="S68" s="83">
        <f t="shared" si="7"/>
        <v>1.7018379850238258E-2</v>
      </c>
      <c r="T68" s="83">
        <f t="shared" si="7"/>
        <v>8.5091899251191292E-3</v>
      </c>
      <c r="U68" s="83">
        <f t="shared" si="7"/>
        <v>8.5091899251191292E-3</v>
      </c>
      <c r="V68" s="83">
        <f>V64/V66</f>
        <v>0</v>
      </c>
      <c r="W68" s="83">
        <f t="shared" si="7"/>
        <v>0</v>
      </c>
      <c r="X68" s="83">
        <f t="shared" si="7"/>
        <v>0</v>
      </c>
      <c r="Y68" s="83">
        <f t="shared" si="7"/>
        <v>0</v>
      </c>
      <c r="Z68" s="83">
        <f t="shared" si="7"/>
        <v>0</v>
      </c>
      <c r="AA68" s="83"/>
      <c r="AB68" s="83">
        <f t="shared" si="7"/>
        <v>1.9174041297935106E-2</v>
      </c>
      <c r="AC68" s="10"/>
      <c r="AD68" s="11"/>
      <c r="AE68" s="79" t="s">
        <v>7</v>
      </c>
      <c r="AF68" s="101">
        <f>SQRT(((AF65+AF65^2/(AF65^2/(AF66-AF65))))/AF59)</f>
        <v>8.147801424639782E-4</v>
      </c>
      <c r="AG68" s="29"/>
      <c r="AH68" s="91"/>
    </row>
    <row r="69" spans="1:35" ht="15" x14ac:dyDescent="0.25">
      <c r="A69" s="12"/>
      <c r="B69" s="92" t="s">
        <v>34</v>
      </c>
      <c r="C69" s="83">
        <f t="shared" ref="C69:L69" si="8">DAYS360($A72,C3)</f>
        <v>128</v>
      </c>
      <c r="D69" s="83">
        <f t="shared" si="8"/>
        <v>126</v>
      </c>
      <c r="E69" s="83">
        <f t="shared" si="8"/>
        <v>126</v>
      </c>
      <c r="F69" s="83">
        <f t="shared" si="8"/>
        <v>126</v>
      </c>
      <c r="G69" s="83">
        <f t="shared" si="8"/>
        <v>126</v>
      </c>
      <c r="H69" s="83">
        <f t="shared" si="8"/>
        <v>133</v>
      </c>
      <c r="I69" s="83">
        <f t="shared" si="8"/>
        <v>128</v>
      </c>
      <c r="J69" s="83">
        <f t="shared" si="8"/>
        <v>128</v>
      </c>
      <c r="K69" s="83">
        <f t="shared" si="8"/>
        <v>128</v>
      </c>
      <c r="L69" s="83">
        <f t="shared" si="8"/>
        <v>141</v>
      </c>
      <c r="M69" s="83">
        <f t="shared" ref="M69:O69" si="9">DAYS360($A72,M3)</f>
        <v>141</v>
      </c>
      <c r="N69" s="83">
        <f t="shared" si="9"/>
        <v>141</v>
      </c>
      <c r="O69" s="83">
        <f t="shared" si="9"/>
        <v>141</v>
      </c>
      <c r="P69" s="83">
        <f>DAYS360($A72,P3)</f>
        <v>141</v>
      </c>
      <c r="Q69" s="83">
        <f t="shared" ref="Q69:Z69" si="10">DAYS360($A72,Q3)</f>
        <v>94</v>
      </c>
      <c r="R69" s="83">
        <f t="shared" si="10"/>
        <v>94</v>
      </c>
      <c r="S69" s="83">
        <f t="shared" si="10"/>
        <v>94</v>
      </c>
      <c r="T69" s="83">
        <f t="shared" si="10"/>
        <v>94</v>
      </c>
      <c r="U69" s="83">
        <f t="shared" si="10"/>
        <v>94</v>
      </c>
      <c r="V69" s="83">
        <f t="shared" si="10"/>
        <v>143</v>
      </c>
      <c r="W69" s="83">
        <f t="shared" si="10"/>
        <v>143</v>
      </c>
      <c r="X69" s="83">
        <f t="shared" si="10"/>
        <v>143</v>
      </c>
      <c r="Y69" s="83">
        <f t="shared" si="10"/>
        <v>143</v>
      </c>
      <c r="Z69" s="83">
        <f t="shared" si="10"/>
        <v>134</v>
      </c>
      <c r="AA69" s="83"/>
      <c r="AB69" s="125">
        <f>AVERAGE(C69:AA69)</f>
        <v>126.25</v>
      </c>
      <c r="AC69" s="146"/>
      <c r="AD69" s="146"/>
      <c r="AH69" s="91"/>
    </row>
    <row r="70" spans="1:35" ht="15.75" thickBot="1" x14ac:dyDescent="0.3">
      <c r="B70" s="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6"/>
      <c r="AF70" s="42"/>
      <c r="AG70" s="27"/>
      <c r="AH70" s="32"/>
    </row>
    <row r="71" spans="1:35" ht="29.25" thickTop="1" thickBot="1" x14ac:dyDescent="0.4">
      <c r="A71" s="14" t="s">
        <v>12</v>
      </c>
      <c r="C71" s="93" t="s">
        <v>50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15"/>
      <c r="S71" s="15"/>
      <c r="T71" s="15"/>
      <c r="U71" s="15"/>
      <c r="V71" s="15"/>
      <c r="W71" s="89"/>
      <c r="X71" s="89"/>
      <c r="Y71" s="15"/>
      <c r="Z71" s="15"/>
      <c r="AA71" s="15"/>
      <c r="AD71" s="17"/>
      <c r="AE71" s="43" t="s">
        <v>14</v>
      </c>
      <c r="AF71" s="44"/>
      <c r="AG71" s="45"/>
      <c r="AH71" s="46"/>
    </row>
    <row r="72" spans="1:35" ht="19.5" thickTop="1" x14ac:dyDescent="0.3">
      <c r="A72" s="86">
        <v>43066</v>
      </c>
      <c r="B72" s="102" t="s">
        <v>51</v>
      </c>
      <c r="C72" s="176" t="str">
        <f>C1 &amp; "," &amp; H1 &amp; "," &amp; M1 &amp; "," &amp; R1 &amp; "," &amp; W1</f>
        <v>10A,7b,18b,21b,26c</v>
      </c>
      <c r="D72" s="176"/>
      <c r="E72" s="174" t="str">
        <f>D1 &amp; "," &amp; I1 &amp; "," &amp; N1 &amp; "," &amp; S1 &amp; "," &amp; "X1"</f>
        <v>10B,7C,18c,21c,X1</v>
      </c>
      <c r="F72" s="174"/>
      <c r="G72" s="174" t="str">
        <f>E1 &amp; "," &amp; J1 &amp; "," &amp; O1 &amp; "," &amp; T1 &amp; "," &amp; Y1</f>
        <v>10C,7d,18d,21d,26e</v>
      </c>
      <c r="H72" s="174"/>
      <c r="I72" s="174" t="str">
        <f>F1 &amp; "," &amp; K1 &amp; "," &amp; P1 &amp; "," &amp; U1 &amp; "," &amp; Z1</f>
        <v>10D,7e,18e,21e,29a</v>
      </c>
      <c r="J72" s="174"/>
      <c r="K72" s="174" t="str">
        <f>G1 &amp; "," &amp; L1 &amp; "," &amp; Q1 &amp; "," &amp; V1 &amp; "," &amp; X1</f>
        <v>10E,18a,21A,26b,26d</v>
      </c>
      <c r="L72" s="174"/>
      <c r="M72" s="174"/>
      <c r="N72" s="174"/>
      <c r="O72" s="174"/>
      <c r="P72" s="174"/>
      <c r="Q72" s="174"/>
      <c r="R72" s="174"/>
      <c r="S72" s="174"/>
      <c r="T72" s="174"/>
      <c r="W72" s="174"/>
      <c r="X72" s="174"/>
      <c r="Y72" s="174"/>
      <c r="Z72" s="174"/>
      <c r="AD72" s="21"/>
      <c r="AE72" s="52" t="s">
        <v>8</v>
      </c>
      <c r="AF72" s="53" t="str">
        <f>+A1</f>
        <v>Blue Hills- Great Blue</v>
      </c>
      <c r="AG72" s="54"/>
      <c r="AH72" s="55"/>
    </row>
    <row r="73" spans="1:35" ht="18.75" x14ac:dyDescent="0.3">
      <c r="A73" s="86"/>
      <c r="B73" s="104" t="s">
        <v>39</v>
      </c>
      <c r="C73" s="176">
        <f>C67+ H67 + M67+ R67 +W67</f>
        <v>5.1979999999999995E-4</v>
      </c>
      <c r="D73" s="176"/>
      <c r="E73" s="174">
        <f>D67+ I67 + N67+ S67 +X67</f>
        <v>5.9211999999999991E-4</v>
      </c>
      <c r="F73" s="174"/>
      <c r="G73" s="174">
        <f>E67 + J67 + O67 + T67 +Y67</f>
        <v>5.8759999999999986E-4</v>
      </c>
      <c r="H73" s="174"/>
      <c r="I73" s="174">
        <f>F67+ K67 + P67 + U67 +Z67</f>
        <v>5.9211999999999991E-4</v>
      </c>
      <c r="J73" s="174"/>
      <c r="K73" s="174">
        <f>G67 + L67+ Q67 + V67 + X67</f>
        <v>5.3787999999999991E-4</v>
      </c>
      <c r="L73" s="174"/>
      <c r="M73" s="174"/>
      <c r="N73" s="174"/>
      <c r="O73" s="174"/>
      <c r="P73" s="174"/>
      <c r="Q73" s="174"/>
      <c r="R73" s="174"/>
      <c r="S73" s="174"/>
      <c r="T73" s="174"/>
      <c r="W73" s="174"/>
      <c r="X73" s="174"/>
      <c r="Y73" s="174"/>
      <c r="Z73" s="174"/>
      <c r="AD73" s="21"/>
      <c r="AE73" s="52" t="s">
        <v>9</v>
      </c>
      <c r="AF73" s="52">
        <f>A3</f>
        <v>2018</v>
      </c>
      <c r="AG73" s="61"/>
      <c r="AH73" s="55"/>
    </row>
    <row r="74" spans="1:35" ht="18.75" x14ac:dyDescent="0.3">
      <c r="A74" s="98" t="s">
        <v>11</v>
      </c>
      <c r="B74" s="104" t="s">
        <v>38</v>
      </c>
      <c r="C74" s="174">
        <f>C64 + H64 + M64 + R64 + W64</f>
        <v>16</v>
      </c>
      <c r="D74" s="174"/>
      <c r="E74" s="174">
        <f>D64 + I64 + N64 + S64 + X64</f>
        <v>9</v>
      </c>
      <c r="F74" s="174"/>
      <c r="G74" s="174">
        <f>E64 + J64 + O64 + T64 +Y64</f>
        <v>9</v>
      </c>
      <c r="H74" s="174"/>
      <c r="I74" s="174">
        <f>F64 + K64 + P64 + U64 + Z64</f>
        <v>8</v>
      </c>
      <c r="J74" s="174"/>
      <c r="K74" s="174">
        <f>G64 + L64 + Q64+ V64 + X64</f>
        <v>10</v>
      </c>
      <c r="L74" s="174"/>
      <c r="M74" s="174"/>
      <c r="N74" s="174"/>
      <c r="O74" s="174"/>
      <c r="P74" s="174"/>
      <c r="Q74" s="174"/>
      <c r="R74" s="174"/>
      <c r="S74" s="174"/>
      <c r="T74" s="174"/>
      <c r="W74" s="174"/>
      <c r="X74" s="174"/>
      <c r="Y74" s="174"/>
      <c r="Z74" s="174"/>
      <c r="AD74" s="21"/>
      <c r="AE74" s="62" t="s">
        <v>10</v>
      </c>
      <c r="AF74" s="109">
        <f>AF58</f>
        <v>24</v>
      </c>
      <c r="AG74" s="61"/>
      <c r="AH74" s="55"/>
    </row>
    <row r="75" spans="1:35" ht="18.75" x14ac:dyDescent="0.3">
      <c r="A75" s="98"/>
      <c r="B75" s="104" t="s">
        <v>40</v>
      </c>
      <c r="C75" s="174">
        <f>AVERAGE(C69,H69,M69,R69,W69)</f>
        <v>127.8</v>
      </c>
      <c r="D75" s="174"/>
      <c r="E75" s="175">
        <f xml:space="preserve"> AVERAGE(D69, I69, N69, S69,X69)</f>
        <v>126.4</v>
      </c>
      <c r="F75" s="175"/>
      <c r="G75" s="175">
        <f xml:space="preserve"> AVERAGE(E69, J69, O69, T69,Y69)</f>
        <v>126.4</v>
      </c>
      <c r="H75" s="175"/>
      <c r="I75" s="175">
        <f>AVERAGE(F69, K69, P69, U69,Z69)</f>
        <v>124.6</v>
      </c>
      <c r="J75" s="175"/>
      <c r="K75" s="175">
        <f xml:space="preserve"> AVERAGE(G69, L69, Q69, V69,X69)</f>
        <v>129.4</v>
      </c>
      <c r="L75" s="175"/>
      <c r="M75" s="175"/>
      <c r="N75" s="175"/>
      <c r="O75" s="175"/>
      <c r="P75" s="175"/>
      <c r="Q75" s="175"/>
      <c r="R75" s="175"/>
      <c r="S75" s="175"/>
      <c r="T75" s="175"/>
      <c r="W75" s="175"/>
      <c r="X75" s="175"/>
      <c r="Y75" s="175"/>
      <c r="Z75" s="175"/>
      <c r="AD75" s="21"/>
      <c r="AE75" s="52" t="s">
        <v>30</v>
      </c>
      <c r="AF75" s="105">
        <f>AB65</f>
        <v>600</v>
      </c>
      <c r="AG75" s="61"/>
      <c r="AH75" s="55"/>
    </row>
    <row r="76" spans="1:35" ht="18.75" x14ac:dyDescent="0.3">
      <c r="A76" s="98"/>
      <c r="B76" s="94" t="s">
        <v>1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W76" s="145"/>
      <c r="X76" s="145"/>
      <c r="Y76" s="145"/>
      <c r="Z76" s="145"/>
      <c r="AA76" s="145"/>
      <c r="AB76" s="16" t="s">
        <v>16</v>
      </c>
      <c r="AC76" s="16" t="s">
        <v>15</v>
      </c>
      <c r="AD76" s="21"/>
      <c r="AE76" s="52" t="s">
        <v>42</v>
      </c>
      <c r="AF76" s="105">
        <f>AB64</f>
        <v>52</v>
      </c>
      <c r="AG76" s="61"/>
      <c r="AH76" s="55"/>
    </row>
    <row r="77" spans="1:35" ht="18.75" x14ac:dyDescent="0.3">
      <c r="A77" s="22"/>
      <c r="B77" s="19">
        <v>10.9</v>
      </c>
      <c r="C77" s="171">
        <f>C74/(B77*C73*C75)</f>
        <v>22.096645878860365</v>
      </c>
      <c r="D77" s="172"/>
      <c r="E77" s="171">
        <f>E74/(B77*E73*E75)</f>
        <v>11.032125840715652</v>
      </c>
      <c r="F77" s="172"/>
      <c r="G77" s="171">
        <f>G74/(B77*G73*G75)</f>
        <v>11.116988347182698</v>
      </c>
      <c r="H77" s="172"/>
      <c r="I77" s="171">
        <f>I74/(B77*I73*I75)</f>
        <v>9.9479986179165945</v>
      </c>
      <c r="J77" s="172"/>
      <c r="K77" s="171">
        <f>K74/($B$77*K73*K75)</f>
        <v>13.181166002169467</v>
      </c>
      <c r="L77" s="172"/>
      <c r="M77" s="171"/>
      <c r="N77" s="172"/>
      <c r="O77" s="171"/>
      <c r="P77" s="172"/>
      <c r="Q77" s="171"/>
      <c r="R77" s="172"/>
      <c r="S77" s="171"/>
      <c r="T77" s="172"/>
      <c r="U77" s="147"/>
      <c r="V77" s="147"/>
      <c r="W77" s="171"/>
      <c r="X77" s="172"/>
      <c r="Y77" s="171"/>
      <c r="Z77" s="172"/>
      <c r="AA77" s="147"/>
      <c r="AB77" s="20">
        <f>AVERAGE(C77:Q77)</f>
        <v>13.474984937368955</v>
      </c>
      <c r="AC77" s="20">
        <f>STDEV(C77:Q77)</f>
        <v>4.9595037034908058</v>
      </c>
      <c r="AD77" s="21"/>
      <c r="AE77" s="52" t="s">
        <v>120</v>
      </c>
      <c r="AF77" s="105">
        <v>15.1</v>
      </c>
      <c r="AG77" s="61" t="s">
        <v>48</v>
      </c>
      <c r="AH77" s="55"/>
    </row>
    <row r="78" spans="1:35" ht="18.75" x14ac:dyDescent="0.3">
      <c r="A78" s="26"/>
      <c r="B78" s="24">
        <v>19.8</v>
      </c>
      <c r="C78" s="171">
        <f>C74/(B78*C75*C73)</f>
        <v>12.164315155534242</v>
      </c>
      <c r="D78" s="172"/>
      <c r="E78" s="171">
        <f>E74/(B78*E73*E75)</f>
        <v>6.0732409931212441</v>
      </c>
      <c r="F78" s="172"/>
      <c r="G78" s="171">
        <f>G74/(B78*G73*G75)</f>
        <v>6.1199582315298695</v>
      </c>
      <c r="H78" s="172"/>
      <c r="I78" s="171">
        <f>I74/(B78*I73*I75)</f>
        <v>5.4764234815803476</v>
      </c>
      <c r="J78" s="172"/>
      <c r="K78" s="171">
        <f>K74/($B$78*K73*K75)</f>
        <v>7.2562984557397563</v>
      </c>
      <c r="L78" s="172"/>
      <c r="M78" s="171"/>
      <c r="N78" s="172"/>
      <c r="O78" s="171"/>
      <c r="P78" s="172"/>
      <c r="Q78" s="171"/>
      <c r="R78" s="172"/>
      <c r="S78" s="171"/>
      <c r="T78" s="172"/>
      <c r="U78" s="129"/>
      <c r="V78" s="129"/>
      <c r="W78" s="171"/>
      <c r="X78" s="172"/>
      <c r="Y78" s="171"/>
      <c r="Z78" s="172"/>
      <c r="AA78" s="129"/>
      <c r="AB78" s="20">
        <f>AVERAGE(C78:Q78)</f>
        <v>7.4180472635010917</v>
      </c>
      <c r="AC78" s="20">
        <f>STDEV(C78:Q78)</f>
        <v>2.7302318367701943</v>
      </c>
      <c r="AD78" s="21"/>
      <c r="AE78" s="106" t="s">
        <v>43</v>
      </c>
      <c r="AF78" s="63"/>
      <c r="AG78" s="61"/>
      <c r="AH78" s="55"/>
    </row>
    <row r="79" spans="1:35" ht="18.75" x14ac:dyDescent="0.3">
      <c r="B79" s="19">
        <v>28.7</v>
      </c>
      <c r="C79" s="171">
        <f>C74/(B79*C73*C75)</f>
        <v>8.3921059261177007</v>
      </c>
      <c r="D79" s="172"/>
      <c r="E79" s="171">
        <f>E74/(B79*E73*E75)</f>
        <v>4.1899014517003703</v>
      </c>
      <c r="F79" s="172"/>
      <c r="G79" s="171">
        <f>G74/(B79*G73*G75)</f>
        <v>4.2221314628672966</v>
      </c>
      <c r="H79" s="172"/>
      <c r="I79" s="171">
        <f>I74/(B79*I73*I75)</f>
        <v>3.7781597538428882</v>
      </c>
      <c r="J79" s="172"/>
      <c r="K79" s="171">
        <f>K74/($B$79*K73*K75)</f>
        <v>5.0060874363640142</v>
      </c>
      <c r="L79" s="172"/>
      <c r="M79" s="171"/>
      <c r="N79" s="172"/>
      <c r="O79" s="171"/>
      <c r="P79" s="172"/>
      <c r="Q79" s="171"/>
      <c r="R79" s="172"/>
      <c r="S79" s="171"/>
      <c r="T79" s="172"/>
      <c r="U79" s="23"/>
      <c r="V79" s="23"/>
      <c r="W79" s="171"/>
      <c r="X79" s="172"/>
      <c r="Y79" s="171"/>
      <c r="Z79" s="172"/>
      <c r="AA79" s="23"/>
      <c r="AB79" s="20">
        <f>AVERAGE(C79:Q79)</f>
        <v>5.1176772061784543</v>
      </c>
      <c r="AC79" s="20">
        <f>STDEV(C79:Q79)</f>
        <v>1.8835745772839645</v>
      </c>
      <c r="AD79" s="21"/>
      <c r="AE79" s="62" t="s">
        <v>44</v>
      </c>
      <c r="AF79" s="107">
        <f>AVERAGE(C77:L79)</f>
        <v>8.6702364690161673</v>
      </c>
      <c r="AG79" s="61" t="s">
        <v>48</v>
      </c>
      <c r="AH79" s="110">
        <f>AF79/0.386</f>
        <v>22.46175251040458</v>
      </c>
      <c r="AI79" s="110" t="s">
        <v>49</v>
      </c>
    </row>
    <row r="80" spans="1:35" ht="18.75" x14ac:dyDescent="0.3">
      <c r="B80" s="1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0"/>
      <c r="AC80" s="20"/>
      <c r="AD80" s="21"/>
      <c r="AE80" s="71" t="s">
        <v>94</v>
      </c>
      <c r="AF80" s="72">
        <f>_xlfn.VAR.S(C77:L79)</f>
        <v>23.483292789655529</v>
      </c>
      <c r="AG80" s="61" t="s">
        <v>48</v>
      </c>
      <c r="AH80" s="110">
        <f>AF80/0.386</f>
        <v>60.837546087190489</v>
      </c>
      <c r="AI80" s="110" t="s">
        <v>49</v>
      </c>
    </row>
    <row r="81" spans="1:36" ht="18.75" x14ac:dyDescent="0.3">
      <c r="B81" s="77" t="s">
        <v>41</v>
      </c>
      <c r="C81" s="173">
        <f>AVERAGE(C77:C79)</f>
        <v>14.217688986837436</v>
      </c>
      <c r="D81" s="173"/>
      <c r="E81" s="173">
        <f>AVERAGE(E77:E79)</f>
        <v>7.0984227618457565</v>
      </c>
      <c r="F81" s="173"/>
      <c r="G81" s="173">
        <f>AVERAGE(G77:G79)</f>
        <v>7.1530260138599546</v>
      </c>
      <c r="H81" s="173"/>
      <c r="I81" s="173">
        <f>AVERAGE(I77:I79)</f>
        <v>6.4008606177799434</v>
      </c>
      <c r="J81" s="173"/>
      <c r="K81" s="173">
        <f>AVERAGE(K77:K79)</f>
        <v>8.4811839647577454</v>
      </c>
      <c r="L81" s="173"/>
      <c r="M81" s="173"/>
      <c r="N81" s="173"/>
      <c r="O81" s="173"/>
      <c r="P81" s="173"/>
      <c r="Q81" s="173"/>
      <c r="R81" s="173"/>
      <c r="S81" s="173"/>
      <c r="T81" s="173"/>
      <c r="U81" s="142"/>
      <c r="V81" s="142"/>
      <c r="W81" s="173"/>
      <c r="X81" s="173"/>
      <c r="Y81" s="173"/>
      <c r="Z81" s="173"/>
      <c r="AA81" s="142"/>
      <c r="AB81" s="20"/>
      <c r="AC81" s="20"/>
      <c r="AD81" s="21"/>
      <c r="AE81" s="71" t="s">
        <v>46</v>
      </c>
      <c r="AF81" s="72">
        <f>MAX(C77:L79)</f>
        <v>22.096645878860365</v>
      </c>
      <c r="AG81" s="61" t="s">
        <v>48</v>
      </c>
      <c r="AH81" s="110">
        <f>AF81/0.386</f>
        <v>57.245196577358456</v>
      </c>
      <c r="AI81" s="110" t="s">
        <v>49</v>
      </c>
    </row>
    <row r="82" spans="1:36" ht="18.75" x14ac:dyDescent="0.3">
      <c r="AD82" s="21"/>
      <c r="AE82" s="71" t="s">
        <v>47</v>
      </c>
      <c r="AF82" s="72">
        <f>MIN(C77:L79)</f>
        <v>3.7781597538428882</v>
      </c>
      <c r="AG82" s="108" t="s">
        <v>48</v>
      </c>
      <c r="AH82" s="110">
        <f>AF82/0.386</f>
        <v>9.7879786368986732</v>
      </c>
      <c r="AI82" s="110" t="s">
        <v>49</v>
      </c>
    </row>
    <row r="83" spans="1:36" ht="18.75" x14ac:dyDescent="0.3">
      <c r="AD83" s="21"/>
      <c r="AE83" s="68" t="s">
        <v>53</v>
      </c>
      <c r="AF83" s="72">
        <f>COUNT(C77:L79)</f>
        <v>15</v>
      </c>
      <c r="AG83" s="61"/>
      <c r="AH83" s="55"/>
    </row>
    <row r="84" spans="1:36" ht="18.75" x14ac:dyDescent="0.3">
      <c r="AD84" s="21"/>
      <c r="AE84" s="66"/>
      <c r="AF84" s="72"/>
      <c r="AG84" s="61"/>
      <c r="AH84" s="61"/>
    </row>
    <row r="85" spans="1:36" ht="18.75" x14ac:dyDescent="0.3">
      <c r="A85" s="18"/>
      <c r="AD85" s="21"/>
      <c r="AE85" s="68" t="s">
        <v>95</v>
      </c>
      <c r="AF85" s="69"/>
      <c r="AG85" s="110">
        <f>AF79-AF88</f>
        <v>5.9866186437456737</v>
      </c>
      <c r="AH85" s="110">
        <f>AF79+AF88</f>
        <v>11.353854294286661</v>
      </c>
      <c r="AI85" s="111" t="s">
        <v>48</v>
      </c>
      <c r="AJ85"/>
    </row>
    <row r="86" spans="1:36" ht="18.75" x14ac:dyDescent="0.3">
      <c r="AB86" s="146"/>
      <c r="AC86" s="146"/>
      <c r="AD86" s="21"/>
      <c r="AE86" s="71"/>
      <c r="AF86" s="74"/>
      <c r="AG86" s="110">
        <f>AG85/0.385</f>
        <v>15.549658814923827</v>
      </c>
      <c r="AH86" s="110">
        <f>AH85/0.386</f>
        <v>29.414130296079431</v>
      </c>
      <c r="AI86" s="111" t="s">
        <v>49</v>
      </c>
    </row>
    <row r="87" spans="1:36" ht="23.25" x14ac:dyDescent="0.35">
      <c r="AB87" s="38"/>
      <c r="AC87" s="39"/>
      <c r="AD87" s="21"/>
      <c r="AE87" s="2" t="s">
        <v>97</v>
      </c>
      <c r="AF87" s="18"/>
    </row>
    <row r="88" spans="1:36" ht="23.25" x14ac:dyDescent="0.35">
      <c r="AB88" s="39"/>
      <c r="AC88" s="41"/>
      <c r="AD88" s="21"/>
      <c r="AE88" s="2" t="s">
        <v>52</v>
      </c>
      <c r="AF88" s="18">
        <f>2.1448*AF89</f>
        <v>2.6836178252704941</v>
      </c>
    </row>
    <row r="89" spans="1:36" s="18" customFormat="1" ht="23.2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9"/>
      <c r="AC89" s="41"/>
      <c r="AD89" s="27"/>
      <c r="AE89" s="2" t="s">
        <v>90</v>
      </c>
      <c r="AF89" s="18">
        <f>SQRT(AF80)/SQRT(AF83)</f>
        <v>1.2512205451652807</v>
      </c>
    </row>
    <row r="90" spans="1:36" ht="15" x14ac:dyDescent="0.25">
      <c r="AA90" s="47"/>
      <c r="AB90" s="48"/>
      <c r="AC90" s="49"/>
      <c r="AF90" s="18"/>
      <c r="AG90" s="31"/>
      <c r="AH90" s="31"/>
    </row>
    <row r="91" spans="1:36" ht="17.25" customHeight="1" x14ac:dyDescent="0.25">
      <c r="AA91" s="56"/>
      <c r="AB91" s="57"/>
      <c r="AC91" s="49"/>
      <c r="AF91" s="18"/>
      <c r="AG91" s="31"/>
      <c r="AH91" s="31"/>
    </row>
    <row r="92" spans="1:36" ht="15.75" customHeight="1" x14ac:dyDescent="0.25">
      <c r="AA92" s="56"/>
      <c r="AB92" s="57"/>
      <c r="AC92" s="49"/>
      <c r="AE92" s="18"/>
      <c r="AF92" s="18"/>
      <c r="AG92" s="31"/>
      <c r="AH92" s="31"/>
      <c r="AJ92" s="36"/>
    </row>
    <row r="93" spans="1:36" ht="15" customHeight="1" x14ac:dyDescent="0.25">
      <c r="R93" s="13"/>
      <c r="S93" s="13"/>
      <c r="T93" s="13"/>
      <c r="U93" s="13"/>
      <c r="V93" s="13"/>
      <c r="AA93" s="26"/>
      <c r="AB93" s="57"/>
      <c r="AC93" s="49"/>
      <c r="AE93" s="121" t="s">
        <v>114</v>
      </c>
    </row>
    <row r="94" spans="1:36" ht="15.75" customHeight="1" x14ac:dyDescent="0.25">
      <c r="F94" s="132"/>
      <c r="AA94" s="26"/>
      <c r="AB94" s="48"/>
      <c r="AC94" s="49"/>
      <c r="AF94" s="122" t="s">
        <v>115</v>
      </c>
      <c r="AG94" s="122" t="s">
        <v>116</v>
      </c>
      <c r="AH94" s="122" t="s">
        <v>117</v>
      </c>
      <c r="AI94" s="122" t="s">
        <v>118</v>
      </c>
    </row>
    <row r="95" spans="1:36" ht="16.5" customHeight="1" x14ac:dyDescent="0.25">
      <c r="F95" s="132"/>
      <c r="AA95" s="26"/>
      <c r="AB95" s="48"/>
      <c r="AC95" s="49"/>
      <c r="AD95" s="146"/>
      <c r="AF95" s="123">
        <v>42703</v>
      </c>
      <c r="AG95" s="121">
        <v>24</v>
      </c>
      <c r="AH95" s="121">
        <f>AF95-$A$72</f>
        <v>-363</v>
      </c>
      <c r="AI95" s="121">
        <f>AG95*AH95*$B$78</f>
        <v>-172497.6</v>
      </c>
    </row>
    <row r="96" spans="1:36" ht="16.5" customHeight="1" x14ac:dyDescent="0.35">
      <c r="F96" s="132"/>
      <c r="AA96" s="26"/>
      <c r="AB96" s="48"/>
      <c r="AC96" s="49"/>
      <c r="AD96" s="39"/>
      <c r="AF96" s="123">
        <v>42704</v>
      </c>
      <c r="AG96" s="121">
        <v>17</v>
      </c>
      <c r="AH96" s="121">
        <f t="shared" ref="AH96:AH98" si="11">AF96-$A$72</f>
        <v>-362</v>
      </c>
      <c r="AI96" s="121">
        <f t="shared" ref="AI96:AI98" si="12">AG96*AH96*$B$78</f>
        <v>-121849.20000000001</v>
      </c>
    </row>
    <row r="97" spans="1:38" ht="16.5" customHeight="1" x14ac:dyDescent="0.25">
      <c r="F97" s="132"/>
      <c r="AA97" s="26"/>
      <c r="AB97" s="48"/>
      <c r="AC97" s="49"/>
      <c r="AD97" s="41"/>
      <c r="AF97" s="123">
        <v>42707</v>
      </c>
      <c r="AG97" s="121">
        <v>9</v>
      </c>
      <c r="AH97" s="121">
        <f t="shared" si="11"/>
        <v>-359</v>
      </c>
      <c r="AI97" s="121">
        <f t="shared" si="12"/>
        <v>-63973.8</v>
      </c>
    </row>
    <row r="98" spans="1:38" ht="15.75" x14ac:dyDescent="0.2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70"/>
      <c r="AB98" s="48"/>
      <c r="AC98" s="49"/>
      <c r="AD98" s="41"/>
      <c r="AF98" s="123">
        <v>42708</v>
      </c>
      <c r="AG98" s="121">
        <v>8</v>
      </c>
      <c r="AH98" s="121">
        <f t="shared" si="11"/>
        <v>-358</v>
      </c>
      <c r="AI98" s="121">
        <f t="shared" si="12"/>
        <v>-56707.200000000004</v>
      </c>
    </row>
    <row r="99" spans="1:38" ht="15" x14ac:dyDescent="0.25">
      <c r="A99" s="64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70"/>
      <c r="AB99" s="48"/>
      <c r="AC99" s="49"/>
      <c r="AD99" s="50"/>
      <c r="AE99" s="40"/>
      <c r="AG99" s="51"/>
      <c r="AH99" s="51"/>
      <c r="AI99" s="51"/>
    </row>
    <row r="100" spans="1:38" ht="15.75" x14ac:dyDescent="0.25">
      <c r="A100" s="6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70"/>
      <c r="AB100" s="48"/>
      <c r="AC100" s="49"/>
      <c r="AD100" s="50"/>
      <c r="AE100" s="40"/>
      <c r="AH100" s="121">
        <f>AF77*AF79*B78*AB69</f>
        <v>327268.69656268985</v>
      </c>
      <c r="AI100" s="124" t="s">
        <v>119</v>
      </c>
    </row>
    <row r="101" spans="1:38" ht="15.75" x14ac:dyDescent="0.25">
      <c r="A101" s="64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70"/>
      <c r="AB101" s="48"/>
      <c r="AC101" s="49"/>
      <c r="AD101" s="50"/>
      <c r="AE101" s="40"/>
      <c r="AH101" s="121">
        <f>AH100-AI98-AI97-AI96-AI95</f>
        <v>742296.49656268989</v>
      </c>
      <c r="AI101" s="124" t="s">
        <v>121</v>
      </c>
    </row>
    <row r="102" spans="1:38" ht="15" x14ac:dyDescent="0.25">
      <c r="A102" s="64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70"/>
      <c r="AB102" s="48"/>
      <c r="AC102" s="49"/>
      <c r="AD102" s="50"/>
      <c r="AE102" s="40"/>
    </row>
    <row r="103" spans="1:38" ht="15.75" x14ac:dyDescent="0.25">
      <c r="A103" s="67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70"/>
      <c r="AB103" s="48"/>
      <c r="AC103" s="49"/>
      <c r="AD103" s="50"/>
      <c r="AE103" s="58"/>
      <c r="AH103" s="126">
        <f>AH101/(B78*AB69*AF77)</f>
        <v>19.665449897643803</v>
      </c>
      <c r="AI103" s="124" t="s">
        <v>122</v>
      </c>
    </row>
    <row r="104" spans="1:38" ht="15" x14ac:dyDescent="0.25">
      <c r="A104" s="67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70"/>
      <c r="AB104" s="48"/>
      <c r="AC104" s="49"/>
      <c r="AD104" s="50"/>
      <c r="AE104" s="58"/>
    </row>
    <row r="105" spans="1:38" ht="15" x14ac:dyDescent="0.25">
      <c r="A105" s="73"/>
      <c r="AA105" s="70"/>
      <c r="AB105" s="48"/>
      <c r="AC105" s="49"/>
      <c r="AD105" s="50"/>
      <c r="AE105" s="58"/>
    </row>
    <row r="106" spans="1:38" x14ac:dyDescent="0.2">
      <c r="A106" s="73"/>
      <c r="B106" s="27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W106" s="75"/>
      <c r="X106" s="75"/>
      <c r="AB106" s="48"/>
      <c r="AC106" s="49"/>
      <c r="AD106" s="50"/>
      <c r="AE106" s="65"/>
    </row>
    <row r="107" spans="1:38" s="60" customFormat="1" x14ac:dyDescent="0.2">
      <c r="A107" s="73"/>
      <c r="B107" s="27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2"/>
      <c r="S107" s="2"/>
      <c r="T107" s="2"/>
      <c r="U107" s="2"/>
      <c r="V107" s="2"/>
      <c r="W107" s="75"/>
      <c r="X107" s="75"/>
      <c r="Y107" s="2"/>
      <c r="Z107" s="2"/>
      <c r="AA107" s="2"/>
      <c r="AB107" s="48"/>
      <c r="AC107" s="49"/>
      <c r="AD107" s="50"/>
      <c r="AE107" s="58"/>
      <c r="AF107" s="2"/>
      <c r="AG107" s="2"/>
      <c r="AH107" s="2"/>
      <c r="AI107" s="2"/>
      <c r="AJ107" s="2"/>
      <c r="AK107" s="2"/>
      <c r="AL107" s="2"/>
    </row>
    <row r="108" spans="1:38" s="60" customFormat="1" x14ac:dyDescent="0.2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48"/>
      <c r="AC108" s="49"/>
      <c r="AD108" s="50"/>
      <c r="AE108" s="58"/>
      <c r="AF108" s="2"/>
      <c r="AG108" s="2" t="s">
        <v>123</v>
      </c>
      <c r="AH108" s="2"/>
      <c r="AI108" s="2"/>
      <c r="AJ108" s="2"/>
      <c r="AK108" s="2"/>
      <c r="AL108" s="2"/>
    </row>
    <row r="109" spans="1:38" s="60" customFormat="1" x14ac:dyDescent="0.2">
      <c r="A109" s="7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48"/>
      <c r="AC109" s="49"/>
      <c r="AD109" s="50"/>
      <c r="AE109" s="58"/>
      <c r="AF109" s="59"/>
      <c r="AG109" s="51"/>
      <c r="AJ109" s="2"/>
      <c r="AK109" s="2"/>
      <c r="AL109" s="2"/>
    </row>
    <row r="110" spans="1:38" s="60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48"/>
      <c r="AC110" s="49"/>
      <c r="AD110" s="50"/>
      <c r="AE110" s="58"/>
      <c r="AF110" s="59"/>
      <c r="AG110" s="51"/>
      <c r="AJ110" s="2"/>
      <c r="AK110" s="2"/>
      <c r="AL110" s="2"/>
    </row>
    <row r="111" spans="1:38" s="60" customFormat="1" x14ac:dyDescent="0.2">
      <c r="A111" s="22"/>
      <c r="B111" s="1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48"/>
      <c r="AC111" s="49"/>
      <c r="AD111" s="50"/>
      <c r="AE111" s="58"/>
      <c r="AF111" s="59"/>
      <c r="AG111" s="51"/>
    </row>
    <row r="112" spans="1:38" s="60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48"/>
      <c r="AC112" s="49"/>
      <c r="AD112" s="50"/>
      <c r="AE112" s="58"/>
      <c r="AF112" s="59"/>
      <c r="AG112" s="51"/>
    </row>
    <row r="113" spans="1:35" s="60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48"/>
      <c r="AC113" s="49"/>
      <c r="AD113" s="50"/>
      <c r="AE113" s="58"/>
      <c r="AF113" s="59"/>
      <c r="AG113" s="51"/>
    </row>
    <row r="114" spans="1:35" x14ac:dyDescent="0.2">
      <c r="AB114" s="48"/>
      <c r="AC114" s="49"/>
      <c r="AD114" s="50"/>
      <c r="AE114" s="58"/>
      <c r="AF114" s="59"/>
      <c r="AG114" s="51"/>
      <c r="AH114" s="51"/>
      <c r="AI114" s="51"/>
    </row>
    <row r="115" spans="1:35" x14ac:dyDescent="0.2">
      <c r="AB115" s="48"/>
      <c r="AC115" s="49"/>
      <c r="AD115" s="50"/>
      <c r="AE115" s="58"/>
      <c r="AF115" s="59"/>
      <c r="AG115" s="51"/>
      <c r="AH115" s="51"/>
      <c r="AI115" s="51"/>
    </row>
    <row r="116" spans="1:35" x14ac:dyDescent="0.2">
      <c r="AB116" s="48"/>
      <c r="AC116" s="49"/>
      <c r="AD116" s="50"/>
      <c r="AE116" s="58"/>
      <c r="AF116" s="59"/>
      <c r="AG116" s="51"/>
      <c r="AH116" s="51"/>
      <c r="AI116" s="51"/>
    </row>
    <row r="117" spans="1:35" x14ac:dyDescent="0.2">
      <c r="AB117" s="48"/>
      <c r="AC117" s="49"/>
      <c r="AD117" s="50"/>
      <c r="AE117" s="58"/>
      <c r="AF117" s="51"/>
      <c r="AG117" s="51"/>
      <c r="AH117" s="51"/>
      <c r="AI117" s="51"/>
    </row>
    <row r="118" spans="1:35" x14ac:dyDescent="0.2">
      <c r="AB118" s="40"/>
      <c r="AC118" s="50"/>
      <c r="AD118" s="50"/>
      <c r="AE118" s="58"/>
      <c r="AF118" s="51"/>
      <c r="AG118" s="51"/>
      <c r="AH118" s="51"/>
      <c r="AI118" s="51"/>
    </row>
    <row r="119" spans="1:35" x14ac:dyDescent="0.2">
      <c r="AB119" s="40"/>
      <c r="AC119" s="40"/>
      <c r="AD119" s="50"/>
      <c r="AE119" s="58"/>
      <c r="AF119" s="51"/>
      <c r="AG119" s="51"/>
      <c r="AH119" s="51"/>
      <c r="AI119" s="51"/>
    </row>
    <row r="120" spans="1:35" x14ac:dyDescent="0.2">
      <c r="AD120" s="50"/>
      <c r="AE120" s="58"/>
      <c r="AF120" s="51"/>
      <c r="AG120" s="51"/>
      <c r="AH120" s="51"/>
      <c r="AI120" s="51"/>
    </row>
    <row r="121" spans="1:35" x14ac:dyDescent="0.2">
      <c r="AD121" s="50"/>
      <c r="AE121" s="76"/>
      <c r="AF121" s="51"/>
      <c r="AG121" s="51"/>
      <c r="AH121" s="51"/>
      <c r="AI121" s="51"/>
    </row>
    <row r="122" spans="1:35" x14ac:dyDescent="0.2">
      <c r="AD122" s="50"/>
      <c r="AE122" s="76"/>
      <c r="AF122" s="51"/>
      <c r="AG122" s="51"/>
      <c r="AH122" s="51"/>
      <c r="AI122" s="51"/>
    </row>
    <row r="123" spans="1:35" x14ac:dyDescent="0.2">
      <c r="AD123" s="50"/>
      <c r="AE123" s="76"/>
      <c r="AF123" s="51"/>
      <c r="AG123" s="51"/>
      <c r="AH123" s="51"/>
      <c r="AI123" s="51"/>
    </row>
    <row r="124" spans="1:35" x14ac:dyDescent="0.2">
      <c r="AD124" s="50"/>
      <c r="AE124" s="76"/>
      <c r="AF124" s="51"/>
      <c r="AG124" s="51"/>
      <c r="AH124" s="51"/>
      <c r="AI124" s="51"/>
    </row>
    <row r="125" spans="1:35" x14ac:dyDescent="0.2">
      <c r="AD125" s="50"/>
      <c r="AE125" s="76"/>
      <c r="AF125" s="51"/>
      <c r="AG125" s="51"/>
      <c r="AH125" s="51"/>
      <c r="AI125" s="51"/>
    </row>
    <row r="126" spans="1:35" x14ac:dyDescent="0.2">
      <c r="AD126" s="50"/>
      <c r="AE126" s="76"/>
      <c r="AF126" s="51"/>
      <c r="AG126" s="51"/>
      <c r="AH126" s="51"/>
      <c r="AI126" s="51"/>
    </row>
    <row r="127" spans="1:35" x14ac:dyDescent="0.2">
      <c r="AD127" s="50"/>
      <c r="AE127" s="76"/>
      <c r="AF127" s="51"/>
      <c r="AG127" s="51"/>
      <c r="AH127" s="51"/>
      <c r="AI127" s="51"/>
    </row>
    <row r="128" spans="1:35" x14ac:dyDescent="0.2">
      <c r="AD128" s="40"/>
      <c r="AE128" s="76"/>
      <c r="AF128" s="51"/>
      <c r="AG128" s="51"/>
      <c r="AH128" s="51"/>
      <c r="AI128" s="51"/>
    </row>
    <row r="129" spans="31:32" x14ac:dyDescent="0.2">
      <c r="AE129" s="76"/>
      <c r="AF129" s="51"/>
    </row>
    <row r="130" spans="31:32" x14ac:dyDescent="0.2">
      <c r="AE130" s="76"/>
      <c r="AF130" s="51"/>
    </row>
    <row r="131" spans="31:32" x14ac:dyDescent="0.2">
      <c r="AE131" s="76"/>
      <c r="AF131" s="51"/>
    </row>
  </sheetData>
  <mergeCells count="88">
    <mergeCell ref="M72:N72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W73:X73"/>
    <mergeCell ref="Y73:Z73"/>
    <mergeCell ref="O72:P72"/>
    <mergeCell ref="Q72:R72"/>
    <mergeCell ref="S72:T72"/>
    <mergeCell ref="W72:X72"/>
    <mergeCell ref="Y72:Z72"/>
    <mergeCell ref="M74:N74"/>
    <mergeCell ref="M73:N73"/>
    <mergeCell ref="O73:P73"/>
    <mergeCell ref="Q73:R73"/>
    <mergeCell ref="S73:T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W75:X75"/>
    <mergeCell ref="Y75:Z75"/>
    <mergeCell ref="O74:P74"/>
    <mergeCell ref="Q74:R74"/>
    <mergeCell ref="S74:T74"/>
    <mergeCell ref="W74:X74"/>
    <mergeCell ref="Y74:Z74"/>
    <mergeCell ref="M77:N77"/>
    <mergeCell ref="M75:N75"/>
    <mergeCell ref="O75:P75"/>
    <mergeCell ref="Q75:R75"/>
    <mergeCell ref="S75:T75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W78:X78"/>
    <mergeCell ref="Y78:Z78"/>
    <mergeCell ref="O77:P77"/>
    <mergeCell ref="Q77:R77"/>
    <mergeCell ref="S77:T77"/>
    <mergeCell ref="W77:X77"/>
    <mergeCell ref="Y77:Z77"/>
    <mergeCell ref="M79:N79"/>
    <mergeCell ref="M78:N78"/>
    <mergeCell ref="O78:P78"/>
    <mergeCell ref="Q78:R78"/>
    <mergeCell ref="S78:T78"/>
    <mergeCell ref="C79:D79"/>
    <mergeCell ref="E79:F79"/>
    <mergeCell ref="G79:H79"/>
    <mergeCell ref="I79:J79"/>
    <mergeCell ref="K79:L79"/>
    <mergeCell ref="C81:D81"/>
    <mergeCell ref="E81:F81"/>
    <mergeCell ref="G81:H81"/>
    <mergeCell ref="I81:J81"/>
    <mergeCell ref="K81:L81"/>
    <mergeCell ref="Y81:Z81"/>
    <mergeCell ref="O79:P79"/>
    <mergeCell ref="Q79:R79"/>
    <mergeCell ref="S79:T79"/>
    <mergeCell ref="W79:X79"/>
    <mergeCell ref="Y79:Z79"/>
    <mergeCell ref="M81:N81"/>
    <mergeCell ref="O81:P81"/>
    <mergeCell ref="Q81:R81"/>
    <mergeCell ref="S81:T81"/>
    <mergeCell ref="W81:X8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C63" sqref="C63:L68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17" width="11.42578125" style="2" customWidth="1"/>
    <col min="18" max="18" width="10.7109375" style="2" customWidth="1"/>
    <col min="19" max="19" width="9.42578125" style="2" customWidth="1"/>
    <col min="20" max="20" width="2.5703125" style="2" customWidth="1"/>
    <col min="21" max="21" width="35.140625" style="2" customWidth="1"/>
    <col min="22" max="22" width="15.28515625" style="2" bestFit="1" customWidth="1"/>
    <col min="23" max="23" width="12.28515625" style="2" bestFit="1" customWidth="1"/>
    <col min="24" max="24" width="20.42578125" style="2" bestFit="1" customWidth="1"/>
    <col min="25" max="25" width="15.5703125" style="2" bestFit="1" customWidth="1"/>
    <col min="26" max="16384" width="11.42578125" style="2"/>
  </cols>
  <sheetData>
    <row r="1" spans="1:21" ht="15.75" x14ac:dyDescent="0.25">
      <c r="A1" s="95" t="s">
        <v>201</v>
      </c>
      <c r="B1" s="84"/>
      <c r="C1" s="85" t="s">
        <v>126</v>
      </c>
      <c r="D1" s="153" t="s">
        <v>167</v>
      </c>
      <c r="E1" s="85" t="s">
        <v>168</v>
      </c>
      <c r="F1" s="153" t="s">
        <v>169</v>
      </c>
      <c r="G1" s="85" t="s">
        <v>170</v>
      </c>
      <c r="H1" s="85" t="s">
        <v>176</v>
      </c>
      <c r="I1" s="153" t="s">
        <v>177</v>
      </c>
      <c r="J1" s="85" t="s">
        <v>178</v>
      </c>
      <c r="K1" s="153" t="s">
        <v>179</v>
      </c>
      <c r="L1" s="153" t="s">
        <v>180</v>
      </c>
      <c r="M1" s="85"/>
      <c r="N1" s="85"/>
      <c r="O1" s="85"/>
      <c r="P1" s="85"/>
      <c r="Q1" s="85"/>
      <c r="R1" s="1"/>
      <c r="S1" s="1"/>
      <c r="T1" s="1"/>
    </row>
    <row r="2" spans="1:21" ht="15" x14ac:dyDescent="0.25">
      <c r="A2" s="96">
        <v>2018</v>
      </c>
      <c r="B2" s="84" t="s">
        <v>13</v>
      </c>
      <c r="C2" s="157">
        <v>43160</v>
      </c>
      <c r="D2" s="156">
        <v>43160</v>
      </c>
      <c r="E2" s="157">
        <v>43160</v>
      </c>
      <c r="F2" s="156">
        <v>43160</v>
      </c>
      <c r="G2" s="157">
        <v>43160</v>
      </c>
      <c r="H2" s="157">
        <v>43210</v>
      </c>
      <c r="I2" s="156">
        <v>43210</v>
      </c>
      <c r="J2" s="157">
        <v>43210</v>
      </c>
      <c r="K2" s="156">
        <v>43210</v>
      </c>
      <c r="L2" s="156">
        <v>43201</v>
      </c>
      <c r="M2" s="131"/>
      <c r="N2" s="131"/>
      <c r="O2" s="131"/>
      <c r="P2" s="131"/>
      <c r="Q2" s="131"/>
      <c r="R2" s="130"/>
      <c r="S2" s="130"/>
      <c r="T2" s="130"/>
      <c r="U2" s="130"/>
    </row>
    <row r="3" spans="1:21" ht="15" x14ac:dyDescent="0.25">
      <c r="B3" s="97">
        <v>1</v>
      </c>
      <c r="C3" s="4">
        <v>0</v>
      </c>
      <c r="D3" s="152">
        <v>0</v>
      </c>
      <c r="E3" s="4">
        <v>0</v>
      </c>
      <c r="F3" s="152">
        <v>0</v>
      </c>
      <c r="G3" s="4">
        <v>0</v>
      </c>
      <c r="H3" s="4">
        <v>0</v>
      </c>
      <c r="I3" s="152">
        <v>0</v>
      </c>
      <c r="J3" s="4">
        <v>0</v>
      </c>
      <c r="K3" s="152">
        <v>0</v>
      </c>
      <c r="L3" s="152">
        <v>0</v>
      </c>
      <c r="M3" s="4"/>
      <c r="N3" s="4"/>
      <c r="O3" s="4"/>
      <c r="P3" s="4"/>
      <c r="Q3" s="4"/>
      <c r="R3" s="1"/>
    </row>
    <row r="4" spans="1:21" ht="15" x14ac:dyDescent="0.25">
      <c r="B4" s="97">
        <f>1+B3</f>
        <v>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/>
      <c r="N4" s="4"/>
      <c r="O4" s="4"/>
      <c r="P4" s="4"/>
      <c r="Q4" s="4"/>
      <c r="R4" s="1"/>
    </row>
    <row r="5" spans="1:21" ht="15" x14ac:dyDescent="0.25">
      <c r="B5" s="97">
        <f t="shared" ref="B5:B58" si="0">1+B4</f>
        <v>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/>
      <c r="N5" s="4"/>
      <c r="O5" s="4"/>
      <c r="P5" s="4"/>
      <c r="Q5" s="4"/>
      <c r="R5" s="1"/>
    </row>
    <row r="6" spans="1:21" ht="15" x14ac:dyDescent="0.25">
      <c r="B6" s="97">
        <f t="shared" si="0"/>
        <v>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/>
      <c r="N6" s="4"/>
      <c r="O6" s="4"/>
      <c r="P6" s="4"/>
      <c r="Q6" s="4"/>
      <c r="R6" s="1"/>
    </row>
    <row r="7" spans="1:21" ht="15" x14ac:dyDescent="0.25">
      <c r="B7" s="97">
        <f t="shared" si="0"/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/>
      <c r="N7" s="4"/>
      <c r="O7" s="4"/>
      <c r="P7" s="4"/>
      <c r="Q7" s="4"/>
      <c r="R7" s="1"/>
    </row>
    <row r="8" spans="1:21" ht="15" x14ac:dyDescent="0.25">
      <c r="B8" s="97">
        <f t="shared" si="0"/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/>
      <c r="N8" s="4"/>
      <c r="O8" s="4"/>
      <c r="P8" s="4"/>
      <c r="Q8" s="4"/>
      <c r="R8" s="1"/>
    </row>
    <row r="9" spans="1:21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/>
      <c r="N9" s="4"/>
      <c r="O9" s="4"/>
      <c r="P9" s="4"/>
      <c r="Q9" s="4"/>
      <c r="R9" s="1"/>
    </row>
    <row r="10" spans="1:21" ht="15" x14ac:dyDescent="0.25">
      <c r="B10" s="97">
        <f t="shared" si="0"/>
        <v>8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/>
      <c r="N10" s="4"/>
      <c r="O10" s="4"/>
      <c r="P10" s="4"/>
      <c r="Q10" s="4"/>
      <c r="R10" s="1"/>
    </row>
    <row r="11" spans="1:21" ht="15" x14ac:dyDescent="0.25">
      <c r="B11" s="97">
        <f t="shared" si="0"/>
        <v>9</v>
      </c>
      <c r="C11" s="4">
        <v>0</v>
      </c>
      <c r="D11" s="4">
        <v>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/>
      <c r="N11" s="4"/>
      <c r="O11" s="4"/>
      <c r="P11" s="4"/>
      <c r="Q11" s="4"/>
      <c r="R11" s="1"/>
    </row>
    <row r="12" spans="1:21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4"/>
      <c r="O12" s="4"/>
      <c r="P12" s="4"/>
      <c r="Q12" s="4"/>
      <c r="R12" s="1"/>
    </row>
    <row r="13" spans="1:21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/>
      <c r="N13" s="4"/>
      <c r="O13" s="4"/>
      <c r="P13" s="4"/>
      <c r="Q13" s="4"/>
      <c r="R13" s="1"/>
    </row>
    <row r="14" spans="1:21" ht="15" x14ac:dyDescent="0.25">
      <c r="B14" s="97">
        <f t="shared" si="0"/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4"/>
      <c r="O14" s="4"/>
      <c r="P14" s="4"/>
      <c r="Q14" s="4"/>
      <c r="R14" s="1"/>
    </row>
    <row r="15" spans="1:21" ht="15" x14ac:dyDescent="0.25">
      <c r="B15" s="97">
        <f t="shared" si="0"/>
        <v>13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/>
      <c r="N15" s="4"/>
      <c r="O15" s="4"/>
      <c r="P15" s="4"/>
      <c r="Q15" s="4"/>
      <c r="R15" s="1"/>
    </row>
    <row r="16" spans="1:21" ht="15" x14ac:dyDescent="0.25">
      <c r="B16" s="97">
        <f t="shared" si="0"/>
        <v>14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/>
      <c r="N16" s="4"/>
      <c r="O16" s="4"/>
      <c r="P16" s="4"/>
      <c r="Q16" s="4"/>
      <c r="R16" s="1"/>
    </row>
    <row r="17" spans="2:18" ht="15" x14ac:dyDescent="0.25">
      <c r="B17" s="97">
        <f t="shared" si="0"/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/>
      <c r="N17" s="4"/>
      <c r="O17" s="4"/>
      <c r="P17" s="4"/>
      <c r="Q17" s="4"/>
      <c r="R17" s="1"/>
    </row>
    <row r="18" spans="2:18" ht="15" x14ac:dyDescent="0.25">
      <c r="B18" s="97">
        <f t="shared" si="0"/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/>
      <c r="N18" s="4"/>
      <c r="O18" s="4"/>
      <c r="P18" s="4"/>
      <c r="Q18" s="4"/>
      <c r="R18" s="1"/>
    </row>
    <row r="19" spans="2:18" ht="15" x14ac:dyDescent="0.25">
      <c r="B19" s="97">
        <f t="shared" si="0"/>
        <v>17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/>
      <c r="N19" s="4"/>
      <c r="O19" s="4"/>
      <c r="P19" s="4"/>
      <c r="Q19" s="4"/>
      <c r="R19" s="1"/>
    </row>
    <row r="20" spans="2:18" ht="15" x14ac:dyDescent="0.25">
      <c r="B20" s="97">
        <f t="shared" si="0"/>
        <v>18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/>
      <c r="N20" s="4"/>
      <c r="O20" s="4"/>
      <c r="P20" s="4"/>
      <c r="Q20" s="4"/>
      <c r="R20" s="1"/>
    </row>
    <row r="21" spans="2:18" ht="15" x14ac:dyDescent="0.25">
      <c r="B21" s="97">
        <f t="shared" si="0"/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/>
      <c r="N21" s="4"/>
      <c r="O21" s="4"/>
      <c r="P21" s="4"/>
      <c r="Q21" s="4"/>
      <c r="R21" s="1"/>
    </row>
    <row r="22" spans="2:18" ht="15" x14ac:dyDescent="0.25">
      <c r="B22" s="97">
        <f t="shared" si="0"/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/>
      <c r="N22" s="4"/>
      <c r="O22" s="4"/>
      <c r="P22" s="4"/>
      <c r="Q22" s="4"/>
      <c r="R22" s="1"/>
    </row>
    <row r="23" spans="2:18" ht="15" x14ac:dyDescent="0.25">
      <c r="B23" s="97">
        <f t="shared" si="0"/>
        <v>21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/>
      <c r="O23" s="4"/>
      <c r="P23" s="4"/>
      <c r="Q23" s="4"/>
      <c r="R23" s="1"/>
    </row>
    <row r="24" spans="2:18" ht="15" x14ac:dyDescent="0.25">
      <c r="B24" s="97">
        <f t="shared" si="0"/>
        <v>22</v>
      </c>
      <c r="C24" s="4">
        <v>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/>
      <c r="N24" s="4"/>
      <c r="O24" s="4"/>
      <c r="P24" s="4"/>
      <c r="Q24" s="4"/>
      <c r="R24" s="1"/>
    </row>
    <row r="25" spans="2:18" ht="15" x14ac:dyDescent="0.25">
      <c r="B25" s="97">
        <f t="shared" si="0"/>
        <v>23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/>
      <c r="N25" s="4"/>
      <c r="O25" s="4"/>
      <c r="P25" s="4"/>
      <c r="Q25" s="4"/>
      <c r="R25" s="1"/>
    </row>
    <row r="26" spans="2:18" ht="15" x14ac:dyDescent="0.25">
      <c r="B26" s="97">
        <f t="shared" si="0"/>
        <v>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/>
      <c r="N26" s="4"/>
      <c r="O26" s="4"/>
      <c r="P26" s="4"/>
      <c r="Q26" s="4"/>
      <c r="R26" s="1"/>
    </row>
    <row r="27" spans="2:18" ht="15" x14ac:dyDescent="0.25">
      <c r="B27" s="97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/>
      <c r="N27" s="4"/>
      <c r="O27" s="4"/>
      <c r="P27" s="4"/>
      <c r="Q27" s="4"/>
      <c r="R27" s="1"/>
    </row>
    <row r="28" spans="2:18" ht="15" x14ac:dyDescent="0.25">
      <c r="B28" s="97">
        <v>26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/>
      <c r="N28" s="4"/>
      <c r="O28" s="4"/>
      <c r="P28" s="4"/>
      <c r="Q28" s="4"/>
      <c r="R28" s="1"/>
    </row>
    <row r="29" spans="2:18" ht="15" x14ac:dyDescent="0.25">
      <c r="B29" s="97">
        <v>27</v>
      </c>
      <c r="C29" s="4"/>
      <c r="D29" s="4"/>
      <c r="E29" s="4"/>
      <c r="F29" s="4"/>
      <c r="G29" s="4"/>
      <c r="H29" s="4">
        <v>0</v>
      </c>
      <c r="I29" s="4">
        <v>0</v>
      </c>
      <c r="J29" s="4"/>
      <c r="K29" s="4">
        <v>0</v>
      </c>
      <c r="L29" s="4"/>
      <c r="M29" s="4"/>
      <c r="N29" s="4"/>
      <c r="O29" s="4"/>
      <c r="P29" s="4"/>
      <c r="Q29" s="4"/>
      <c r="R29" s="1"/>
    </row>
    <row r="30" spans="2:18" ht="15" x14ac:dyDescent="0.25">
      <c r="B30" s="97">
        <v>28</v>
      </c>
      <c r="C30" s="4"/>
      <c r="D30" s="4"/>
      <c r="E30" s="4"/>
      <c r="F30" s="4"/>
      <c r="G30" s="4"/>
      <c r="H30" s="4">
        <v>0</v>
      </c>
      <c r="I30" s="4"/>
      <c r="J30" s="4"/>
      <c r="K30" s="4"/>
      <c r="L30" s="4"/>
      <c r="M30" s="4"/>
      <c r="N30" s="4"/>
      <c r="O30" s="4"/>
      <c r="P30" s="4"/>
      <c r="Q30" s="4"/>
      <c r="R30" s="1"/>
    </row>
    <row r="31" spans="2:18" ht="15" x14ac:dyDescent="0.25">
      <c r="B31" s="97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"/>
    </row>
    <row r="32" spans="2:18" ht="15" x14ac:dyDescent="0.25">
      <c r="B32" s="97">
        <v>30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"/>
    </row>
    <row r="33" spans="2:21" ht="15" x14ac:dyDescent="0.25">
      <c r="B33" s="97">
        <v>31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"/>
    </row>
    <row r="34" spans="2:21" ht="15" x14ac:dyDescent="0.25">
      <c r="B34" s="97">
        <v>32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"/>
    </row>
    <row r="35" spans="2:21" ht="15" x14ac:dyDescent="0.25">
      <c r="B35" s="97">
        <v>33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"/>
    </row>
    <row r="36" spans="2:21" ht="15" x14ac:dyDescent="0.25">
      <c r="B36" s="97">
        <v>34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"/>
    </row>
    <row r="37" spans="2:21" ht="15" x14ac:dyDescent="0.25">
      <c r="B37" s="97">
        <v>35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"/>
    </row>
    <row r="38" spans="2:21" ht="15" x14ac:dyDescent="0.25">
      <c r="B38" s="97">
        <v>36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"/>
    </row>
    <row r="39" spans="2:21" ht="15" x14ac:dyDescent="0.25">
      <c r="B39" s="97">
        <v>37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"/>
    </row>
    <row r="40" spans="2:21" ht="15" x14ac:dyDescent="0.25">
      <c r="B40" s="97">
        <v>38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"/>
    </row>
    <row r="41" spans="2:21" ht="15" x14ac:dyDescent="0.25">
      <c r="B41" s="97">
        <f t="shared" si="0"/>
        <v>39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"/>
    </row>
    <row r="42" spans="2:21" ht="15" x14ac:dyDescent="0.25">
      <c r="B42" s="97">
        <f t="shared" si="0"/>
        <v>40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"/>
    </row>
    <row r="43" spans="2:21" ht="15" x14ac:dyDescent="0.25">
      <c r="B43" s="97">
        <f t="shared" si="0"/>
        <v>41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"/>
    </row>
    <row r="44" spans="2:21" ht="15" x14ac:dyDescent="0.25">
      <c r="B44" s="97">
        <f t="shared" si="0"/>
        <v>42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"/>
    </row>
    <row r="45" spans="2:21" ht="15" x14ac:dyDescent="0.25">
      <c r="B45" s="97">
        <v>43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"/>
    </row>
    <row r="46" spans="2:21" ht="15" x14ac:dyDescent="0.25">
      <c r="B46" s="97">
        <v>44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"/>
    </row>
    <row r="47" spans="2:21" ht="15" x14ac:dyDescent="0.25">
      <c r="B47" s="97">
        <v>45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"/>
    </row>
    <row r="48" spans="2:21" ht="15.75" x14ac:dyDescent="0.25">
      <c r="B48" s="97">
        <v>46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"/>
      <c r="U48" s="121"/>
    </row>
    <row r="49" spans="2:26" ht="15.75" x14ac:dyDescent="0.25">
      <c r="B49" s="97">
        <v>47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"/>
      <c r="V49" s="122"/>
      <c r="W49" s="122"/>
      <c r="X49" s="122"/>
      <c r="Y49" s="122"/>
    </row>
    <row r="50" spans="2:26" ht="15.75" x14ac:dyDescent="0.25">
      <c r="B50" s="97">
        <v>48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"/>
      <c r="V50" s="123"/>
      <c r="W50" s="121"/>
      <c r="X50" s="121"/>
      <c r="Y50" s="121"/>
    </row>
    <row r="51" spans="2:26" ht="15.75" x14ac:dyDescent="0.25">
      <c r="B51" s="97">
        <v>49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"/>
      <c r="V51" s="123"/>
      <c r="W51" s="121"/>
      <c r="X51" s="121"/>
      <c r="Y51" s="121"/>
    </row>
    <row r="52" spans="2:26" ht="15.75" x14ac:dyDescent="0.25">
      <c r="B52" s="97">
        <f t="shared" si="0"/>
        <v>50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"/>
      <c r="Y52" s="121"/>
      <c r="Z52" s="124"/>
    </row>
    <row r="53" spans="2:26" ht="15" x14ac:dyDescent="0.25">
      <c r="B53" s="97">
        <f t="shared" si="0"/>
        <v>51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"/>
    </row>
    <row r="54" spans="2:26" ht="15" x14ac:dyDescent="0.25">
      <c r="B54" s="97">
        <f t="shared" si="0"/>
        <v>52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"/>
    </row>
    <row r="55" spans="2:26" ht="15" x14ac:dyDescent="0.25">
      <c r="B55" s="97">
        <f t="shared" si="0"/>
        <v>53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"/>
    </row>
    <row r="56" spans="2:26" ht="15.75" x14ac:dyDescent="0.25">
      <c r="B56" s="97">
        <f t="shared" si="0"/>
        <v>54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"/>
      <c r="U56" s="28" t="s">
        <v>2</v>
      </c>
      <c r="V56" s="29"/>
      <c r="W56" s="29"/>
      <c r="X56" s="90"/>
      <c r="Y56" s="121"/>
      <c r="Z56" s="124"/>
    </row>
    <row r="57" spans="2:26" ht="15" x14ac:dyDescent="0.25">
      <c r="B57" s="97">
        <f t="shared" si="0"/>
        <v>55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"/>
      <c r="U57" s="79" t="s">
        <v>3</v>
      </c>
      <c r="V57" s="80">
        <f>COUNT(C63:Q63)</f>
        <v>15</v>
      </c>
      <c r="W57" s="29"/>
      <c r="X57" s="91"/>
    </row>
    <row r="58" spans="2:26" ht="15.75" x14ac:dyDescent="0.25">
      <c r="B58" s="97">
        <f t="shared" si="0"/>
        <v>56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"/>
      <c r="S58" s="1"/>
      <c r="T58" s="1"/>
      <c r="U58" s="79" t="s">
        <v>36</v>
      </c>
      <c r="V58" s="99">
        <f>R64</f>
        <v>264</v>
      </c>
      <c r="W58" s="29"/>
      <c r="X58" s="91"/>
      <c r="Y58" s="126"/>
      <c r="Z58" s="124"/>
    </row>
    <row r="59" spans="2:26" ht="15" x14ac:dyDescent="0.25">
      <c r="B59" s="97">
        <v>57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"/>
      <c r="S59" s="1"/>
      <c r="T59" s="1"/>
      <c r="U59" s="79"/>
      <c r="V59" s="99"/>
      <c r="W59" s="29"/>
      <c r="X59" s="91"/>
    </row>
    <row r="60" spans="2:26" ht="15" x14ac:dyDescent="0.25">
      <c r="B60" s="97">
        <v>58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"/>
      <c r="S60" s="1"/>
      <c r="T60" s="1"/>
      <c r="U60" s="79"/>
      <c r="V60" s="99"/>
      <c r="W60" s="29"/>
      <c r="X60" s="91"/>
    </row>
    <row r="61" spans="2:26" ht="15" x14ac:dyDescent="0.25">
      <c r="B61" s="97">
        <v>59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"/>
      <c r="S61" s="1"/>
      <c r="T61" s="1"/>
      <c r="U61" s="79"/>
      <c r="V61" s="99"/>
      <c r="W61" s="29"/>
      <c r="X61" s="91"/>
    </row>
    <row r="62" spans="2:26" ht="15" x14ac:dyDescent="0.25">
      <c r="B62" s="97">
        <v>60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"/>
      <c r="T62" s="5"/>
      <c r="U62" s="79" t="s">
        <v>4</v>
      </c>
      <c r="V62" s="80">
        <f>SUM(C63:Q63)</f>
        <v>11</v>
      </c>
      <c r="W62" s="29"/>
      <c r="X62" s="91"/>
    </row>
    <row r="63" spans="2:26" ht="15" x14ac:dyDescent="0.25">
      <c r="B63" s="92" t="s">
        <v>0</v>
      </c>
      <c r="C63" s="82">
        <f t="shared" ref="C63:Q63" si="1">SUM(C3:C62)</f>
        <v>5</v>
      </c>
      <c r="D63" s="82">
        <f t="shared" si="1"/>
        <v>2</v>
      </c>
      <c r="E63" s="82">
        <f t="shared" si="1"/>
        <v>2</v>
      </c>
      <c r="F63" s="82">
        <f t="shared" si="1"/>
        <v>1</v>
      </c>
      <c r="G63" s="82">
        <f t="shared" si="1"/>
        <v>1</v>
      </c>
      <c r="H63" s="82">
        <f t="shared" si="1"/>
        <v>0</v>
      </c>
      <c r="I63" s="82">
        <f t="shared" si="1"/>
        <v>0</v>
      </c>
      <c r="J63" s="82">
        <f t="shared" si="1"/>
        <v>0</v>
      </c>
      <c r="K63" s="82">
        <f t="shared" si="1"/>
        <v>0</v>
      </c>
      <c r="L63" s="82">
        <f t="shared" si="1"/>
        <v>0</v>
      </c>
      <c r="M63" s="82">
        <f t="shared" si="1"/>
        <v>0</v>
      </c>
      <c r="N63" s="82">
        <f t="shared" si="1"/>
        <v>0</v>
      </c>
      <c r="O63" s="82">
        <f t="shared" si="1"/>
        <v>0</v>
      </c>
      <c r="P63" s="82">
        <f t="shared" si="1"/>
        <v>0</v>
      </c>
      <c r="Q63" s="82">
        <f t="shared" si="1"/>
        <v>0</v>
      </c>
      <c r="R63" s="87">
        <f>SUM(C63:Q63)</f>
        <v>11</v>
      </c>
      <c r="S63" s="7"/>
      <c r="T63" s="8"/>
      <c r="U63" s="79" t="s">
        <v>5</v>
      </c>
      <c r="V63" s="81">
        <f>AVERAGE(C63:Q63)</f>
        <v>0.73333333333333328</v>
      </c>
      <c r="W63" s="29"/>
      <c r="X63" s="91"/>
    </row>
    <row r="64" spans="2:26" ht="15" x14ac:dyDescent="0.25">
      <c r="B64" s="92" t="s">
        <v>31</v>
      </c>
      <c r="C64" s="82">
        <f t="shared" ref="C64:Q64" si="2">COUNT(C3:C62)</f>
        <v>26</v>
      </c>
      <c r="D64" s="82">
        <f t="shared" si="2"/>
        <v>26</v>
      </c>
      <c r="E64" s="82">
        <f t="shared" si="2"/>
        <v>26</v>
      </c>
      <c r="F64" s="82">
        <f t="shared" si="2"/>
        <v>26</v>
      </c>
      <c r="G64" s="82">
        <f t="shared" si="2"/>
        <v>26</v>
      </c>
      <c r="H64" s="82">
        <f t="shared" si="2"/>
        <v>28</v>
      </c>
      <c r="I64" s="82">
        <f t="shared" si="2"/>
        <v>27</v>
      </c>
      <c r="J64" s="82">
        <f t="shared" si="2"/>
        <v>26</v>
      </c>
      <c r="K64" s="82">
        <f t="shared" si="2"/>
        <v>27</v>
      </c>
      <c r="L64" s="82">
        <f t="shared" si="2"/>
        <v>26</v>
      </c>
      <c r="M64" s="82">
        <f t="shared" si="2"/>
        <v>0</v>
      </c>
      <c r="N64" s="82">
        <f t="shared" si="2"/>
        <v>0</v>
      </c>
      <c r="O64" s="82">
        <f t="shared" si="2"/>
        <v>0</v>
      </c>
      <c r="P64" s="82">
        <f t="shared" si="2"/>
        <v>0</v>
      </c>
      <c r="Q64" s="82">
        <f t="shared" si="2"/>
        <v>0</v>
      </c>
      <c r="R64" s="87">
        <f>SUM(C64:Q64)</f>
        <v>264</v>
      </c>
      <c r="S64" s="7"/>
      <c r="T64" s="8"/>
      <c r="U64" s="79" t="s">
        <v>35</v>
      </c>
      <c r="V64" s="81">
        <f>AVERAGE(C67:L67)</f>
        <v>9.360108917631043E-3</v>
      </c>
      <c r="W64" s="29"/>
      <c r="X64" s="91"/>
    </row>
    <row r="65" spans="1:25" ht="17.25" x14ac:dyDescent="0.25">
      <c r="B65" s="92" t="s">
        <v>32</v>
      </c>
      <c r="C65" s="82">
        <f t="shared" ref="C65:Q65" si="3">C64*4.52</f>
        <v>117.51999999999998</v>
      </c>
      <c r="D65" s="82">
        <f t="shared" si="3"/>
        <v>117.51999999999998</v>
      </c>
      <c r="E65" s="82">
        <f t="shared" si="3"/>
        <v>117.51999999999998</v>
      </c>
      <c r="F65" s="82">
        <f t="shared" si="3"/>
        <v>117.51999999999998</v>
      </c>
      <c r="G65" s="82">
        <f t="shared" si="3"/>
        <v>117.51999999999998</v>
      </c>
      <c r="H65" s="82">
        <f t="shared" si="3"/>
        <v>126.55999999999999</v>
      </c>
      <c r="I65" s="82">
        <f t="shared" si="3"/>
        <v>122.03999999999999</v>
      </c>
      <c r="J65" s="82">
        <f t="shared" si="3"/>
        <v>117.51999999999998</v>
      </c>
      <c r="K65" s="82">
        <f t="shared" si="3"/>
        <v>122.03999999999999</v>
      </c>
      <c r="L65" s="82">
        <f t="shared" si="3"/>
        <v>117.51999999999998</v>
      </c>
      <c r="M65" s="82">
        <f t="shared" si="3"/>
        <v>0</v>
      </c>
      <c r="N65" s="82">
        <f t="shared" si="3"/>
        <v>0</v>
      </c>
      <c r="O65" s="82">
        <f t="shared" si="3"/>
        <v>0</v>
      </c>
      <c r="P65" s="82">
        <f t="shared" si="3"/>
        <v>0</v>
      </c>
      <c r="Q65" s="82">
        <f t="shared" si="3"/>
        <v>0</v>
      </c>
      <c r="R65" s="82">
        <f>R64*4.52</f>
        <v>1193.28</v>
      </c>
      <c r="S65" s="7"/>
      <c r="T65" s="8"/>
      <c r="U65" s="79" t="s">
        <v>6</v>
      </c>
      <c r="V65" s="100">
        <f>VAR(C67:L67)</f>
        <v>1.8423384131800553E-4</v>
      </c>
      <c r="W65" s="29"/>
      <c r="X65" s="91"/>
    </row>
    <row r="66" spans="1:25" ht="15" x14ac:dyDescent="0.25">
      <c r="B66" s="92" t="s">
        <v>37</v>
      </c>
      <c r="C66" s="82">
        <f t="shared" ref="C66:R66" si="4">C65/1000000</f>
        <v>1.1751999999999999E-4</v>
      </c>
      <c r="D66" s="82">
        <f t="shared" si="4"/>
        <v>1.1751999999999999E-4</v>
      </c>
      <c r="E66" s="82">
        <f t="shared" si="4"/>
        <v>1.1751999999999999E-4</v>
      </c>
      <c r="F66" s="82">
        <f t="shared" si="4"/>
        <v>1.1751999999999999E-4</v>
      </c>
      <c r="G66" s="82">
        <f t="shared" si="4"/>
        <v>1.1751999999999999E-4</v>
      </c>
      <c r="H66" s="82">
        <f t="shared" si="4"/>
        <v>1.2655999999999998E-4</v>
      </c>
      <c r="I66" s="82">
        <f t="shared" si="4"/>
        <v>1.2203999999999999E-4</v>
      </c>
      <c r="J66" s="82">
        <f t="shared" si="4"/>
        <v>1.1751999999999999E-4</v>
      </c>
      <c r="K66" s="82">
        <f t="shared" si="4"/>
        <v>1.2203999999999999E-4</v>
      </c>
      <c r="L66" s="82">
        <f t="shared" si="4"/>
        <v>1.1751999999999999E-4</v>
      </c>
      <c r="M66" s="82">
        <f t="shared" si="4"/>
        <v>0</v>
      </c>
      <c r="N66" s="82">
        <f t="shared" si="4"/>
        <v>0</v>
      </c>
      <c r="O66" s="82">
        <f t="shared" si="4"/>
        <v>0</v>
      </c>
      <c r="P66" s="82">
        <f t="shared" si="4"/>
        <v>0</v>
      </c>
      <c r="Q66" s="82">
        <f t="shared" si="4"/>
        <v>0</v>
      </c>
      <c r="R66" s="82">
        <f t="shared" si="4"/>
        <v>1.1932799999999999E-3</v>
      </c>
      <c r="S66" s="7"/>
      <c r="T66" s="8"/>
      <c r="U66" s="79"/>
      <c r="V66" s="100"/>
      <c r="W66" s="29"/>
      <c r="X66" s="91"/>
    </row>
    <row r="67" spans="1:25" ht="15" x14ac:dyDescent="0.25">
      <c r="B67" s="92" t="s">
        <v>33</v>
      </c>
      <c r="C67" s="83">
        <f t="shared" ref="C67:R67" si="5">C63/C65</f>
        <v>4.2545949625595651E-2</v>
      </c>
      <c r="D67" s="83">
        <f t="shared" si="5"/>
        <v>1.7018379850238258E-2</v>
      </c>
      <c r="E67" s="83">
        <f t="shared" si="5"/>
        <v>1.7018379850238258E-2</v>
      </c>
      <c r="F67" s="83">
        <f t="shared" si="5"/>
        <v>8.5091899251191292E-3</v>
      </c>
      <c r="G67" s="83">
        <f t="shared" si="5"/>
        <v>8.5091899251191292E-3</v>
      </c>
      <c r="H67" s="83">
        <f>H63/H65</f>
        <v>0</v>
      </c>
      <c r="I67" s="83">
        <f t="shared" si="5"/>
        <v>0</v>
      </c>
      <c r="J67" s="83">
        <f t="shared" si="5"/>
        <v>0</v>
      </c>
      <c r="K67" s="83">
        <f t="shared" si="5"/>
        <v>0</v>
      </c>
      <c r="L67" s="83">
        <f t="shared" si="5"/>
        <v>0</v>
      </c>
      <c r="M67" s="83" t="e">
        <f t="shared" si="5"/>
        <v>#DIV/0!</v>
      </c>
      <c r="N67" s="83" t="e">
        <f t="shared" si="5"/>
        <v>#DIV/0!</v>
      </c>
      <c r="O67" s="83" t="e">
        <f t="shared" si="5"/>
        <v>#DIV/0!</v>
      </c>
      <c r="P67" s="83" t="e">
        <f t="shared" si="5"/>
        <v>#DIV/0!</v>
      </c>
      <c r="Q67" s="83" t="e">
        <f t="shared" si="5"/>
        <v>#DIV/0!</v>
      </c>
      <c r="R67" s="83">
        <f t="shared" si="5"/>
        <v>9.2182890855457226E-3</v>
      </c>
      <c r="S67" s="10"/>
      <c r="T67" s="11"/>
      <c r="U67" s="79" t="s">
        <v>7</v>
      </c>
      <c r="V67" s="101">
        <f>SQRT(((V64+V64^2/(V64^2/(V65-V64))))/V58)</f>
        <v>8.3537743537750629E-4</v>
      </c>
      <c r="W67" s="29"/>
      <c r="X67" s="91"/>
    </row>
    <row r="68" spans="1:25" ht="15" x14ac:dyDescent="0.25">
      <c r="A68" s="12"/>
      <c r="B68" s="92" t="s">
        <v>34</v>
      </c>
      <c r="C68" s="83">
        <f t="shared" ref="C68:L68" si="6">DAYS360($A71,C2)</f>
        <v>94</v>
      </c>
      <c r="D68" s="83">
        <f t="shared" si="6"/>
        <v>94</v>
      </c>
      <c r="E68" s="83">
        <f t="shared" si="6"/>
        <v>94</v>
      </c>
      <c r="F68" s="83">
        <f t="shared" si="6"/>
        <v>94</v>
      </c>
      <c r="G68" s="83">
        <f t="shared" si="6"/>
        <v>94</v>
      </c>
      <c r="H68" s="83">
        <f t="shared" si="6"/>
        <v>143</v>
      </c>
      <c r="I68" s="83">
        <f t="shared" si="6"/>
        <v>143</v>
      </c>
      <c r="J68" s="83">
        <f t="shared" si="6"/>
        <v>143</v>
      </c>
      <c r="K68" s="83">
        <f t="shared" si="6"/>
        <v>143</v>
      </c>
      <c r="L68" s="83">
        <f t="shared" si="6"/>
        <v>134</v>
      </c>
      <c r="M68" s="83"/>
      <c r="N68" s="83"/>
      <c r="O68" s="83"/>
      <c r="P68" s="83"/>
      <c r="Q68" s="83"/>
      <c r="R68" s="125">
        <f>AVERAGE(C68:Q68)</f>
        <v>117.6</v>
      </c>
      <c r="S68" s="146"/>
      <c r="T68" s="146"/>
      <c r="X68" s="91"/>
    </row>
    <row r="69" spans="1:25" ht="15.75" thickBot="1" x14ac:dyDescent="0.3">
      <c r="B69" s="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6"/>
      <c r="V69" s="42"/>
      <c r="W69" s="27"/>
      <c r="X69" s="32"/>
    </row>
    <row r="70" spans="1:25" ht="29.25" thickTop="1" thickBot="1" x14ac:dyDescent="0.4">
      <c r="A70" s="14" t="s">
        <v>12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T70" s="17"/>
      <c r="U70" s="43" t="s">
        <v>14</v>
      </c>
      <c r="V70" s="44"/>
      <c r="W70" s="45"/>
      <c r="X70" s="46"/>
    </row>
    <row r="71" spans="1:25" ht="19.5" thickTop="1" x14ac:dyDescent="0.3">
      <c r="A71" s="86">
        <v>43066</v>
      </c>
      <c r="B71" s="102" t="s">
        <v>51</v>
      </c>
      <c r="C71" s="176" t="s">
        <v>203</v>
      </c>
      <c r="D71" s="176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 t="str">
        <f>AC1 &amp; "," &amp; AH1 &amp; "," &amp; AM1 &amp; "," &amp; AR1 &amp; "," &amp; AW1</f>
        <v>,,,,</v>
      </c>
      <c r="P71" s="174"/>
      <c r="Q71" s="174" t="str">
        <f>AD1 &amp; "," &amp; AI1 &amp; "," &amp; AN1 &amp; "," &amp; AS1 &amp; "," &amp; AX1</f>
        <v>,,,,</v>
      </c>
      <c r="R71" s="174"/>
      <c r="S71" s="174" t="str">
        <f>AE1 &amp; "," &amp; AJ1 &amp; "," &amp; AO1 &amp; "," &amp; AT1 &amp; "," &amp; AY1</f>
        <v>,,,,</v>
      </c>
      <c r="T71" s="174"/>
      <c r="U71" s="52" t="s">
        <v>8</v>
      </c>
      <c r="V71" s="53" t="str">
        <f>+A1</f>
        <v>Blue Hills Houghton</v>
      </c>
      <c r="W71" s="54"/>
      <c r="X71" s="55"/>
    </row>
    <row r="72" spans="1:25" ht="18.75" x14ac:dyDescent="0.3">
      <c r="A72" s="86"/>
      <c r="B72" s="104" t="s">
        <v>39</v>
      </c>
      <c r="C72" s="176">
        <f>SUM(C66:L66)</f>
        <v>1.1932799999999999E-3</v>
      </c>
      <c r="D72" s="176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52" t="s">
        <v>9</v>
      </c>
      <c r="V72" s="52">
        <f>A2</f>
        <v>2018</v>
      </c>
      <c r="W72" s="61"/>
      <c r="X72" s="55"/>
    </row>
    <row r="73" spans="1:25" ht="18.75" x14ac:dyDescent="0.3">
      <c r="A73" s="98" t="s">
        <v>11</v>
      </c>
      <c r="B73" s="104" t="s">
        <v>38</v>
      </c>
      <c r="C73" s="174">
        <f>SUM(C63:L63)</f>
        <v>11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62" t="s">
        <v>10</v>
      </c>
      <c r="V73" s="109">
        <f>V57</f>
        <v>15</v>
      </c>
      <c r="W73" s="61"/>
      <c r="X73" s="55"/>
    </row>
    <row r="74" spans="1:25" ht="18.75" x14ac:dyDescent="0.3">
      <c r="A74" s="98"/>
      <c r="B74" s="104" t="s">
        <v>40</v>
      </c>
      <c r="C74" s="175">
        <f>AVERAGE(C68:L68)</f>
        <v>117.6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52" t="s">
        <v>30</v>
      </c>
      <c r="V74" s="105">
        <f>R64</f>
        <v>264</v>
      </c>
      <c r="W74" s="61"/>
      <c r="X74" s="55"/>
    </row>
    <row r="75" spans="1:25" ht="18.75" x14ac:dyDescent="0.3">
      <c r="A75" s="98"/>
      <c r="B75" s="94" t="s">
        <v>1</v>
      </c>
      <c r="C75" s="162"/>
      <c r="D75" s="162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52" t="s">
        <v>42</v>
      </c>
      <c r="V75" s="105">
        <f>R63</f>
        <v>11</v>
      </c>
      <c r="W75" s="61"/>
      <c r="X75" s="55"/>
    </row>
    <row r="76" spans="1:25" ht="18.75" x14ac:dyDescent="0.3">
      <c r="A76" s="22"/>
      <c r="B76" s="19">
        <v>10.9</v>
      </c>
      <c r="C76" s="171">
        <f>C73/($B$76*C72*C74)</f>
        <v>7.1914506377907719</v>
      </c>
      <c r="D76" s="172"/>
      <c r="E76" s="171"/>
      <c r="F76" s="172"/>
      <c r="G76" s="171"/>
      <c r="H76" s="172"/>
      <c r="I76" s="171"/>
      <c r="J76" s="172"/>
      <c r="K76" s="171"/>
      <c r="L76" s="172"/>
      <c r="M76" s="171"/>
      <c r="N76" s="172"/>
      <c r="O76" s="171"/>
      <c r="P76" s="172"/>
      <c r="Q76" s="171"/>
      <c r="R76" s="172"/>
      <c r="S76" s="171"/>
      <c r="T76" s="172"/>
      <c r="U76" s="52" t="s">
        <v>120</v>
      </c>
      <c r="V76" s="105"/>
      <c r="W76" s="61" t="s">
        <v>48</v>
      </c>
      <c r="X76" s="55"/>
    </row>
    <row r="77" spans="1:25" ht="18.75" x14ac:dyDescent="0.3">
      <c r="A77" s="26"/>
      <c r="B77" s="24">
        <v>19.8</v>
      </c>
      <c r="C77" s="171">
        <f>C73/($B$77*C72*C74)</f>
        <v>3.9589298965615867</v>
      </c>
      <c r="D77" s="172"/>
      <c r="E77" s="171"/>
      <c r="F77" s="172"/>
      <c r="G77" s="171"/>
      <c r="H77" s="172"/>
      <c r="I77" s="171"/>
      <c r="J77" s="172"/>
      <c r="K77" s="171"/>
      <c r="L77" s="172"/>
      <c r="M77" s="171"/>
      <c r="N77" s="172"/>
      <c r="O77" s="171"/>
      <c r="P77" s="172"/>
      <c r="Q77" s="171"/>
      <c r="R77" s="172"/>
      <c r="S77" s="171"/>
      <c r="T77" s="172"/>
      <c r="U77" s="106" t="s">
        <v>43</v>
      </c>
      <c r="V77" s="63"/>
      <c r="W77" s="61"/>
      <c r="X77" s="55"/>
    </row>
    <row r="78" spans="1:25" ht="18.75" x14ac:dyDescent="0.3">
      <c r="B78" s="19">
        <v>28.7</v>
      </c>
      <c r="C78" s="171">
        <f>C73/($B$78*C72*C74)</f>
        <v>2.7312478032027676</v>
      </c>
      <c r="D78" s="172"/>
      <c r="E78" s="171"/>
      <c r="F78" s="172"/>
      <c r="G78" s="171"/>
      <c r="H78" s="172"/>
      <c r="I78" s="171"/>
      <c r="J78" s="172"/>
      <c r="K78" s="171"/>
      <c r="L78" s="172"/>
      <c r="M78" s="171"/>
      <c r="N78" s="172"/>
      <c r="O78" s="171"/>
      <c r="P78" s="172"/>
      <c r="Q78" s="171"/>
      <c r="R78" s="172"/>
      <c r="S78" s="171"/>
      <c r="T78" s="172"/>
      <c r="U78" s="62" t="s">
        <v>44</v>
      </c>
      <c r="V78" s="107">
        <f>AVERAGE(C76:D78)</f>
        <v>4.627209445851709</v>
      </c>
      <c r="W78" s="61" t="s">
        <v>48</v>
      </c>
      <c r="X78" s="110">
        <f>V78/0.386</f>
        <v>11.987589237957796</v>
      </c>
      <c r="Y78" s="110" t="s">
        <v>49</v>
      </c>
    </row>
    <row r="79" spans="1:25" ht="18.75" x14ac:dyDescent="0.3">
      <c r="B79" s="1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71" t="s">
        <v>94</v>
      </c>
      <c r="V79" s="72">
        <f>_xlfn.VAR.S(C76:D78)</f>
        <v>5.3083004984162727</v>
      </c>
      <c r="W79" s="61" t="s">
        <v>48</v>
      </c>
      <c r="X79" s="110">
        <f>V79/0.386</f>
        <v>13.75207383009397</v>
      </c>
      <c r="Y79" s="110" t="s">
        <v>49</v>
      </c>
    </row>
    <row r="80" spans="1:25" ht="18.75" x14ac:dyDescent="0.3">
      <c r="B80" s="77" t="s">
        <v>41</v>
      </c>
      <c r="C80" s="173">
        <f>AVERAGE(C76:C78)</f>
        <v>4.627209445851709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71" t="s">
        <v>46</v>
      </c>
      <c r="V80" s="72">
        <f>MAX(C76:D78)</f>
        <v>7.1914506377907719</v>
      </c>
      <c r="W80" s="61" t="s">
        <v>48</v>
      </c>
      <c r="X80" s="110">
        <f>V80/0.386</f>
        <v>18.630701134172984</v>
      </c>
      <c r="Y80" s="110" t="s">
        <v>49</v>
      </c>
    </row>
    <row r="81" spans="1:26" ht="18.75" x14ac:dyDescent="0.3">
      <c r="T81" s="21"/>
      <c r="U81" s="71" t="s">
        <v>47</v>
      </c>
      <c r="V81" s="72">
        <f>MIN(C76:D78)</f>
        <v>2.7312478032027676</v>
      </c>
      <c r="W81" s="108" t="s">
        <v>48</v>
      </c>
      <c r="X81" s="110">
        <f>V81/0.386</f>
        <v>7.075771510887999</v>
      </c>
      <c r="Y81" s="110" t="s">
        <v>49</v>
      </c>
    </row>
    <row r="82" spans="1:26" ht="18.75" x14ac:dyDescent="0.3">
      <c r="T82" s="21"/>
      <c r="U82" s="68" t="s">
        <v>53</v>
      </c>
      <c r="V82" s="72">
        <f>COUNT(C76:D78)</f>
        <v>3</v>
      </c>
      <c r="W82" s="61"/>
      <c r="X82" s="55"/>
    </row>
    <row r="83" spans="1:26" ht="18.75" x14ac:dyDescent="0.3">
      <c r="T83" s="21"/>
      <c r="U83" s="66"/>
      <c r="V83" s="72"/>
      <c r="W83" s="61"/>
      <c r="X83" s="61"/>
    </row>
    <row r="84" spans="1:26" ht="18.75" x14ac:dyDescent="0.3">
      <c r="A84" s="18"/>
      <c r="T84" s="21"/>
      <c r="U84" s="68" t="s">
        <v>95</v>
      </c>
      <c r="V84" s="69"/>
      <c r="W84" s="110">
        <f>V78-V87</f>
        <v>1.774195309233495</v>
      </c>
      <c r="X84" s="110">
        <f>V78+V87</f>
        <v>7.4802235824699235</v>
      </c>
      <c r="Y84" s="111" t="s">
        <v>48</v>
      </c>
      <c r="Z84"/>
    </row>
    <row r="85" spans="1:26" ht="18.75" x14ac:dyDescent="0.3">
      <c r="R85" s="146"/>
      <c r="S85" s="146"/>
      <c r="T85" s="21"/>
      <c r="U85" s="71"/>
      <c r="V85" s="166"/>
      <c r="W85" s="110">
        <f>W84/0.385</f>
        <v>4.6082995045025843</v>
      </c>
      <c r="X85" s="110">
        <f>X84/0.386</f>
        <v>19.378817571165605</v>
      </c>
      <c r="Y85" s="111" t="s">
        <v>49</v>
      </c>
    </row>
    <row r="86" spans="1:26" ht="23.25" x14ac:dyDescent="0.35">
      <c r="R86" s="38"/>
      <c r="S86" s="39"/>
      <c r="T86" s="21"/>
      <c r="U86" s="2" t="s">
        <v>97</v>
      </c>
      <c r="V86" s="18"/>
    </row>
    <row r="87" spans="1:26" ht="23.25" x14ac:dyDescent="0.35">
      <c r="R87" s="39"/>
      <c r="S87" s="41"/>
      <c r="T87" s="21"/>
      <c r="U87" s="2" t="s">
        <v>52</v>
      </c>
      <c r="V87" s="18">
        <f>2.1448*V88</f>
        <v>2.853014136618214</v>
      </c>
    </row>
    <row r="88" spans="1:26" s="18" customFormat="1" ht="23.2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9"/>
      <c r="S88" s="41"/>
      <c r="T88" s="27"/>
      <c r="U88" s="2" t="s">
        <v>90</v>
      </c>
      <c r="V88" s="18">
        <f>SQRT(V79)/SQRT(V82)</f>
        <v>1.3302005485911106</v>
      </c>
    </row>
    <row r="89" spans="1:26" ht="15" x14ac:dyDescent="0.25">
      <c r="R89" s="48"/>
      <c r="S89" s="49"/>
      <c r="V89" s="18"/>
      <c r="W89" s="31"/>
      <c r="X89" s="31"/>
    </row>
    <row r="90" spans="1:26" ht="17.25" customHeight="1" x14ac:dyDescent="0.25">
      <c r="R90" s="57"/>
      <c r="S90" s="49"/>
      <c r="V90" s="18"/>
      <c r="W90" s="31"/>
      <c r="X90" s="31"/>
    </row>
    <row r="91" spans="1:26" ht="15.75" customHeight="1" x14ac:dyDescent="0.25">
      <c r="R91" s="57"/>
      <c r="S91" s="49"/>
      <c r="U91" s="18"/>
      <c r="V91" s="18"/>
      <c r="W91" s="31"/>
      <c r="X91" s="31"/>
      <c r="Z91" s="36"/>
    </row>
    <row r="92" spans="1:26" ht="15" customHeigh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57"/>
      <c r="S92" s="49"/>
      <c r="U92" s="121" t="s">
        <v>114</v>
      </c>
    </row>
    <row r="93" spans="1:26" ht="15.75" customHeight="1" x14ac:dyDescent="0.25">
      <c r="R93" s="48"/>
      <c r="S93" s="49"/>
      <c r="V93" s="122" t="s">
        <v>115</v>
      </c>
      <c r="W93" s="122" t="s">
        <v>116</v>
      </c>
      <c r="X93" s="122" t="s">
        <v>117</v>
      </c>
      <c r="Y93" s="122" t="s">
        <v>118</v>
      </c>
    </row>
    <row r="94" spans="1:26" ht="16.5" customHeight="1" x14ac:dyDescent="0.25">
      <c r="R94" s="48"/>
      <c r="S94" s="49"/>
      <c r="T94" s="146"/>
      <c r="V94" s="123">
        <v>42703</v>
      </c>
      <c r="W94" s="121">
        <v>24</v>
      </c>
      <c r="X94" s="121">
        <f>V94-$A$71</f>
        <v>-363</v>
      </c>
      <c r="Y94" s="121">
        <f>W94*X94*$B$77</f>
        <v>-172497.6</v>
      </c>
    </row>
    <row r="95" spans="1:26" ht="16.5" customHeight="1" x14ac:dyDescent="0.35">
      <c r="R95" s="48"/>
      <c r="S95" s="49"/>
      <c r="T95" s="39"/>
      <c r="V95" s="123">
        <v>42704</v>
      </c>
      <c r="W95" s="121">
        <v>17</v>
      </c>
      <c r="X95" s="121">
        <f t="shared" ref="X95:X97" si="7">V95-$A$71</f>
        <v>-362</v>
      </c>
      <c r="Y95" s="121">
        <f t="shared" ref="Y95:Y97" si="8">W95*X95*$B$77</f>
        <v>-121849.20000000001</v>
      </c>
    </row>
    <row r="96" spans="1:26" ht="16.5" customHeight="1" x14ac:dyDescent="0.25">
      <c r="R96" s="48"/>
      <c r="S96" s="49"/>
      <c r="T96" s="41"/>
      <c r="V96" s="123">
        <v>42707</v>
      </c>
      <c r="W96" s="121">
        <v>9</v>
      </c>
      <c r="X96" s="121">
        <f t="shared" si="7"/>
        <v>-359</v>
      </c>
      <c r="Y96" s="121">
        <f t="shared" si="8"/>
        <v>-63973.8</v>
      </c>
    </row>
    <row r="97" spans="1:28" ht="15.75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48"/>
      <c r="S97" s="49"/>
      <c r="T97" s="41"/>
      <c r="V97" s="123">
        <v>42708</v>
      </c>
      <c r="W97" s="121">
        <v>8</v>
      </c>
      <c r="X97" s="121">
        <f t="shared" si="7"/>
        <v>-358</v>
      </c>
      <c r="Y97" s="121">
        <f t="shared" si="8"/>
        <v>-56707.200000000004</v>
      </c>
    </row>
    <row r="98" spans="1:28" x14ac:dyDescent="0.2">
      <c r="A98" s="64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48"/>
      <c r="S98" s="49"/>
      <c r="T98" s="50"/>
      <c r="U98" s="40"/>
      <c r="W98" s="51"/>
      <c r="X98" s="51"/>
      <c r="Y98" s="51"/>
    </row>
    <row r="99" spans="1:28" ht="15.75" x14ac:dyDescent="0.25">
      <c r="A99" s="64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48"/>
      <c r="S99" s="49"/>
      <c r="T99" s="50"/>
      <c r="U99" s="40"/>
      <c r="X99" s="121">
        <f>V76*V78*B77*R68</f>
        <v>0</v>
      </c>
      <c r="Y99" s="124" t="s">
        <v>119</v>
      </c>
    </row>
    <row r="100" spans="1:28" ht="15.75" x14ac:dyDescent="0.25">
      <c r="A100" s="6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48"/>
      <c r="S100" s="49"/>
      <c r="T100" s="50"/>
      <c r="U100" s="40"/>
      <c r="X100" s="121">
        <f>X99-Y97-Y96-Y95-Y94</f>
        <v>415027.80000000005</v>
      </c>
      <c r="Y100" s="124" t="s">
        <v>121</v>
      </c>
    </row>
    <row r="101" spans="1:28" x14ac:dyDescent="0.2">
      <c r="A101" s="64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48"/>
      <c r="S101" s="49"/>
      <c r="T101" s="50"/>
      <c r="U101" s="40"/>
    </row>
    <row r="102" spans="1:28" ht="15.75" x14ac:dyDescent="0.25">
      <c r="A102" s="67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48"/>
      <c r="S102" s="49"/>
      <c r="T102" s="50"/>
      <c r="U102" s="58"/>
      <c r="X102" s="126" t="e">
        <f>X100/(B77*R68*V76)</f>
        <v>#DIV/0!</v>
      </c>
      <c r="Y102" s="124" t="s">
        <v>122</v>
      </c>
    </row>
    <row r="103" spans="1:28" x14ac:dyDescent="0.2">
      <c r="A103" s="67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48"/>
      <c r="S103" s="49"/>
      <c r="T103" s="50"/>
      <c r="U103" s="58"/>
    </row>
    <row r="104" spans="1:28" x14ac:dyDescent="0.2">
      <c r="A104" s="73"/>
      <c r="R104" s="48"/>
      <c r="S104" s="49"/>
      <c r="T104" s="50"/>
      <c r="U104" s="58"/>
    </row>
    <row r="105" spans="1:28" x14ac:dyDescent="0.2">
      <c r="A105" s="73"/>
      <c r="B105" s="27"/>
      <c r="R105" s="48"/>
      <c r="S105" s="49"/>
      <c r="T105" s="50"/>
      <c r="U105" s="65"/>
    </row>
    <row r="106" spans="1:28" s="60" customFormat="1" x14ac:dyDescent="0.2">
      <c r="A106" s="73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48"/>
      <c r="S106" s="49"/>
      <c r="T106" s="50"/>
      <c r="U106" s="58"/>
      <c r="V106" s="2"/>
      <c r="W106" s="2"/>
      <c r="X106" s="2"/>
      <c r="Y106" s="2"/>
      <c r="Z106" s="2"/>
      <c r="AA106" s="2"/>
      <c r="AB106" s="2"/>
    </row>
    <row r="107" spans="1:28" s="60" customFormat="1" x14ac:dyDescent="0.2">
      <c r="A107" s="7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48"/>
      <c r="S107" s="49"/>
      <c r="T107" s="50"/>
      <c r="U107" s="58"/>
      <c r="V107" s="2"/>
      <c r="W107" s="2" t="s">
        <v>123</v>
      </c>
      <c r="X107" s="2"/>
      <c r="Y107" s="2"/>
      <c r="Z107" s="2"/>
      <c r="AA107" s="2"/>
      <c r="AB107" s="2"/>
    </row>
    <row r="108" spans="1:28" s="60" customFormat="1" x14ac:dyDescent="0.2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8"/>
      <c r="S108" s="49"/>
      <c r="T108" s="50"/>
      <c r="U108" s="58"/>
      <c r="V108" s="59"/>
      <c r="W108" s="51"/>
      <c r="Z108" s="2"/>
      <c r="AA108" s="2"/>
      <c r="AB108" s="2"/>
    </row>
    <row r="109" spans="1:28" s="60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48"/>
      <c r="S109" s="49"/>
      <c r="T109" s="50"/>
      <c r="U109" s="58"/>
      <c r="V109" s="59"/>
      <c r="W109" s="51"/>
      <c r="Z109" s="2"/>
      <c r="AA109" s="2"/>
      <c r="AB109" s="2"/>
    </row>
    <row r="110" spans="1:28" s="60" customFormat="1" x14ac:dyDescent="0.2">
      <c r="A110" s="22"/>
      <c r="B110" s="1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48"/>
      <c r="S110" s="49"/>
      <c r="T110" s="50"/>
      <c r="U110" s="58"/>
      <c r="V110" s="59"/>
      <c r="W110" s="51"/>
    </row>
    <row r="111" spans="1:28" s="60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8"/>
      <c r="S111" s="49"/>
      <c r="T111" s="50"/>
      <c r="U111" s="58"/>
      <c r="V111" s="59"/>
      <c r="W111" s="51"/>
    </row>
    <row r="112" spans="1:28" s="60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8"/>
      <c r="S112" s="49"/>
      <c r="T112" s="50"/>
      <c r="U112" s="58"/>
      <c r="V112" s="59"/>
      <c r="W112" s="51"/>
    </row>
    <row r="113" spans="18:25" x14ac:dyDescent="0.2">
      <c r="R113" s="48"/>
      <c r="S113" s="49"/>
      <c r="T113" s="50"/>
      <c r="U113" s="58"/>
      <c r="V113" s="59"/>
      <c r="W113" s="51"/>
      <c r="X113" s="51"/>
      <c r="Y113" s="51"/>
    </row>
    <row r="114" spans="18:25" x14ac:dyDescent="0.2">
      <c r="R114" s="48"/>
      <c r="S114" s="49"/>
      <c r="T114" s="50"/>
      <c r="U114" s="58"/>
      <c r="V114" s="59"/>
      <c r="W114" s="51"/>
      <c r="X114" s="51"/>
      <c r="Y114" s="51"/>
    </row>
    <row r="115" spans="18:25" x14ac:dyDescent="0.2">
      <c r="R115" s="48"/>
      <c r="S115" s="49"/>
      <c r="T115" s="50"/>
      <c r="U115" s="58"/>
      <c r="V115" s="59"/>
      <c r="W115" s="51"/>
      <c r="X115" s="51"/>
      <c r="Y115" s="51"/>
    </row>
    <row r="116" spans="18:25" x14ac:dyDescent="0.2">
      <c r="R116" s="48"/>
      <c r="S116" s="49"/>
      <c r="T116" s="50"/>
      <c r="U116" s="58"/>
      <c r="V116" s="51"/>
      <c r="W116" s="51"/>
      <c r="X116" s="51"/>
      <c r="Y116" s="51"/>
    </row>
    <row r="117" spans="18:25" x14ac:dyDescent="0.2">
      <c r="R117" s="40"/>
      <c r="S117" s="50"/>
      <c r="T117" s="50"/>
      <c r="U117" s="58"/>
      <c r="V117" s="51"/>
      <c r="W117" s="51"/>
      <c r="X117" s="51"/>
      <c r="Y117" s="51"/>
    </row>
    <row r="118" spans="18:25" x14ac:dyDescent="0.2">
      <c r="R118" s="40"/>
      <c r="S118" s="40"/>
      <c r="T118" s="50"/>
      <c r="U118" s="58"/>
      <c r="V118" s="51"/>
      <c r="W118" s="51"/>
      <c r="X118" s="51"/>
      <c r="Y118" s="51"/>
    </row>
    <row r="119" spans="18:25" x14ac:dyDescent="0.2">
      <c r="T119" s="50"/>
      <c r="U119" s="58"/>
      <c r="V119" s="51"/>
      <c r="W119" s="51"/>
      <c r="X119" s="51"/>
      <c r="Y119" s="51"/>
    </row>
    <row r="120" spans="18:25" x14ac:dyDescent="0.2">
      <c r="T120" s="50"/>
      <c r="U120" s="76"/>
      <c r="V120" s="51"/>
      <c r="W120" s="51"/>
      <c r="X120" s="51"/>
      <c r="Y120" s="51"/>
    </row>
    <row r="121" spans="18:25" x14ac:dyDescent="0.2">
      <c r="T121" s="50"/>
      <c r="U121" s="76"/>
      <c r="V121" s="51"/>
      <c r="W121" s="51"/>
      <c r="X121" s="51"/>
      <c r="Y121" s="51"/>
    </row>
    <row r="122" spans="18:25" x14ac:dyDescent="0.2">
      <c r="T122" s="50"/>
      <c r="U122" s="76"/>
      <c r="V122" s="51"/>
      <c r="W122" s="51"/>
      <c r="X122" s="51"/>
      <c r="Y122" s="51"/>
    </row>
    <row r="123" spans="18:25" x14ac:dyDescent="0.2">
      <c r="T123" s="50"/>
      <c r="U123" s="76"/>
      <c r="V123" s="51"/>
      <c r="W123" s="51"/>
      <c r="X123" s="51"/>
      <c r="Y123" s="51"/>
    </row>
    <row r="124" spans="18:25" x14ac:dyDescent="0.2">
      <c r="T124" s="50"/>
      <c r="U124" s="76"/>
      <c r="V124" s="51"/>
      <c r="W124" s="51"/>
      <c r="X124" s="51"/>
      <c r="Y124" s="51"/>
    </row>
    <row r="125" spans="18:25" x14ac:dyDescent="0.2">
      <c r="T125" s="50"/>
      <c r="U125" s="76"/>
      <c r="V125" s="51"/>
      <c r="W125" s="51"/>
      <c r="X125" s="51"/>
      <c r="Y125" s="51"/>
    </row>
    <row r="126" spans="18:25" x14ac:dyDescent="0.2">
      <c r="T126" s="50"/>
      <c r="U126" s="76"/>
      <c r="V126" s="51"/>
      <c r="W126" s="51"/>
      <c r="X126" s="51"/>
      <c r="Y126" s="51"/>
    </row>
    <row r="127" spans="18:25" x14ac:dyDescent="0.2">
      <c r="T127" s="40"/>
      <c r="U127" s="76"/>
      <c r="V127" s="51"/>
      <c r="W127" s="51"/>
      <c r="X127" s="51"/>
      <c r="Y127" s="51"/>
    </row>
    <row r="128" spans="18:25" x14ac:dyDescent="0.2">
      <c r="U128" s="76"/>
      <c r="V128" s="51"/>
    </row>
    <row r="129" spans="21:22" x14ac:dyDescent="0.2">
      <c r="U129" s="76"/>
      <c r="V129" s="51"/>
    </row>
    <row r="130" spans="21:22" x14ac:dyDescent="0.2">
      <c r="U130" s="76"/>
      <c r="V130" s="51"/>
    </row>
  </sheetData>
  <mergeCells count="72">
    <mergeCell ref="O71:P71"/>
    <mergeCell ref="Q71:R71"/>
    <mergeCell ref="S71:T71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G71:H71"/>
    <mergeCell ref="I71:J71"/>
    <mergeCell ref="K71:L71"/>
    <mergeCell ref="M71:N71"/>
    <mergeCell ref="Q72:R72"/>
    <mergeCell ref="S72:T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C74:D74"/>
    <mergeCell ref="E74:F74"/>
    <mergeCell ref="G74:H74"/>
    <mergeCell ref="I74:J74"/>
    <mergeCell ref="K74:L74"/>
    <mergeCell ref="S74:T74"/>
    <mergeCell ref="O76:P76"/>
    <mergeCell ref="Q76:R76"/>
    <mergeCell ref="S76:T76"/>
    <mergeCell ref="M76:N76"/>
    <mergeCell ref="I77:J77"/>
    <mergeCell ref="K77:L77"/>
    <mergeCell ref="M74:N74"/>
    <mergeCell ref="O74:P74"/>
    <mergeCell ref="Q74:R74"/>
    <mergeCell ref="C76:D76"/>
    <mergeCell ref="E76:F76"/>
    <mergeCell ref="G76:H76"/>
    <mergeCell ref="I76:J76"/>
    <mergeCell ref="K76:L76"/>
    <mergeCell ref="Q77:R77"/>
    <mergeCell ref="S77:T77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M77:N77"/>
    <mergeCell ref="O77:P77"/>
    <mergeCell ref="C77:D77"/>
    <mergeCell ref="E77:F77"/>
    <mergeCell ref="G77:H77"/>
    <mergeCell ref="M80:N80"/>
    <mergeCell ref="O80:P80"/>
    <mergeCell ref="Q80:R80"/>
    <mergeCell ref="S80:T80"/>
    <mergeCell ref="C80:D80"/>
    <mergeCell ref="E80:F80"/>
    <mergeCell ref="G80:H80"/>
    <mergeCell ref="I80:J80"/>
    <mergeCell ref="K80:L80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C63" sqref="C63:K68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12" width="11.42578125" style="2" customWidth="1"/>
    <col min="13" max="13" width="10.7109375" style="2" customWidth="1"/>
    <col min="14" max="14" width="9.42578125" style="2" customWidth="1"/>
    <col min="15" max="15" width="2.5703125" style="2" customWidth="1"/>
    <col min="16" max="16" width="35.140625" style="2" customWidth="1"/>
    <col min="17" max="17" width="15.28515625" style="2" bestFit="1" customWidth="1"/>
    <col min="18" max="18" width="12.28515625" style="2" bestFit="1" customWidth="1"/>
    <col min="19" max="19" width="20.42578125" style="2" bestFit="1" customWidth="1"/>
    <col min="20" max="20" width="15.5703125" style="2" bestFit="1" customWidth="1"/>
    <col min="21" max="16384" width="11.42578125" style="2"/>
  </cols>
  <sheetData>
    <row r="1" spans="1:16" ht="15.75" x14ac:dyDescent="0.25">
      <c r="A1" s="95" t="s">
        <v>202</v>
      </c>
      <c r="B1" s="84"/>
      <c r="C1" s="153" t="s">
        <v>181</v>
      </c>
      <c r="D1" s="85" t="s">
        <v>182</v>
      </c>
      <c r="E1" s="153" t="s">
        <v>183</v>
      </c>
      <c r="F1" s="85" t="s">
        <v>184</v>
      </c>
      <c r="G1" s="153" t="s">
        <v>185</v>
      </c>
      <c r="H1" s="153" t="s">
        <v>191</v>
      </c>
      <c r="I1" s="85" t="s">
        <v>192</v>
      </c>
      <c r="J1" s="153" t="s">
        <v>193</v>
      </c>
      <c r="K1" s="153" t="s">
        <v>194</v>
      </c>
      <c r="L1" s="85"/>
      <c r="M1" s="1"/>
      <c r="N1" s="1"/>
      <c r="O1" s="1"/>
    </row>
    <row r="2" spans="1:16" ht="15" x14ac:dyDescent="0.25">
      <c r="A2" s="96">
        <v>2018</v>
      </c>
      <c r="B2" s="84" t="s">
        <v>13</v>
      </c>
      <c r="C2" s="156">
        <v>43158</v>
      </c>
      <c r="D2" s="157">
        <v>43158</v>
      </c>
      <c r="E2" s="156">
        <v>43158</v>
      </c>
      <c r="F2" s="157">
        <v>43160</v>
      </c>
      <c r="G2" s="156">
        <v>43160</v>
      </c>
      <c r="H2" s="156">
        <v>43195</v>
      </c>
      <c r="I2" s="157">
        <v>43195</v>
      </c>
      <c r="J2" s="156">
        <v>43209</v>
      </c>
      <c r="K2" s="156">
        <v>43209</v>
      </c>
      <c r="L2" s="131"/>
      <c r="M2" s="130"/>
      <c r="N2" s="130"/>
      <c r="O2" s="130"/>
      <c r="P2" s="130"/>
    </row>
    <row r="3" spans="1:16" ht="15" x14ac:dyDescent="0.25">
      <c r="B3" s="97">
        <v>1</v>
      </c>
      <c r="C3" s="152">
        <v>0</v>
      </c>
      <c r="D3" s="4">
        <v>0</v>
      </c>
      <c r="E3" s="152">
        <v>0</v>
      </c>
      <c r="F3" s="4">
        <v>0</v>
      </c>
      <c r="G3" s="152">
        <v>0</v>
      </c>
      <c r="H3" s="152">
        <v>0</v>
      </c>
      <c r="I3" s="4">
        <v>0</v>
      </c>
      <c r="J3" s="152">
        <v>0</v>
      </c>
      <c r="K3" s="152">
        <v>0</v>
      </c>
      <c r="L3" s="4"/>
      <c r="M3" s="1"/>
    </row>
    <row r="4" spans="1:16" ht="15" x14ac:dyDescent="0.25">
      <c r="B4" s="97">
        <f>1+B3</f>
        <v>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3</v>
      </c>
      <c r="L4" s="4"/>
      <c r="M4" s="1"/>
    </row>
    <row r="5" spans="1:16" ht="15" x14ac:dyDescent="0.25">
      <c r="B5" s="97">
        <f t="shared" ref="B5:B58" si="0">1+B4</f>
        <v>3</v>
      </c>
      <c r="C5" s="4">
        <v>0</v>
      </c>
      <c r="D5" s="4">
        <v>0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/>
      <c r="M5" s="1"/>
    </row>
    <row r="6" spans="1:16" ht="15" x14ac:dyDescent="0.25">
      <c r="B6" s="97">
        <f t="shared" si="0"/>
        <v>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0</v>
      </c>
      <c r="K6" s="4">
        <v>0</v>
      </c>
      <c r="L6" s="4"/>
      <c r="M6" s="1"/>
    </row>
    <row r="7" spans="1:16" ht="15" x14ac:dyDescent="0.25">
      <c r="B7" s="97">
        <f t="shared" si="0"/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/>
      <c r="M7" s="1"/>
    </row>
    <row r="8" spans="1:16" ht="15" x14ac:dyDescent="0.25">
      <c r="B8" s="97">
        <f t="shared" si="0"/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/>
      <c r="M8" s="1"/>
    </row>
    <row r="9" spans="1:16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/>
      <c r="M9" s="1"/>
    </row>
    <row r="10" spans="1:16" ht="15" x14ac:dyDescent="0.25">
      <c r="B10" s="97">
        <f t="shared" si="0"/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/>
      <c r="M10" s="1"/>
    </row>
    <row r="11" spans="1:16" ht="15" x14ac:dyDescent="0.25">
      <c r="B11" s="97">
        <f t="shared" si="0"/>
        <v>9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/>
      <c r="M11" s="1"/>
    </row>
    <row r="12" spans="1:16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/>
      <c r="M12" s="1"/>
    </row>
    <row r="13" spans="1:16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/>
      <c r="M13" s="1"/>
    </row>
    <row r="14" spans="1:16" ht="15" x14ac:dyDescent="0.25">
      <c r="B14" s="97">
        <f t="shared" si="0"/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/>
      <c r="M14" s="1"/>
    </row>
    <row r="15" spans="1:16" ht="15" x14ac:dyDescent="0.25">
      <c r="B15" s="97">
        <f t="shared" si="0"/>
        <v>13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/>
      <c r="M15" s="1"/>
    </row>
    <row r="16" spans="1:16" ht="15" x14ac:dyDescent="0.25">
      <c r="B16" s="97">
        <f t="shared" si="0"/>
        <v>14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2</v>
      </c>
      <c r="J16" s="4">
        <v>0</v>
      </c>
      <c r="K16" s="4">
        <v>0</v>
      </c>
      <c r="L16" s="4"/>
      <c r="M16" s="1"/>
    </row>
    <row r="17" spans="2:13" ht="15" x14ac:dyDescent="0.25">
      <c r="B17" s="97">
        <f t="shared" si="0"/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3</v>
      </c>
      <c r="J17" s="4">
        <v>0</v>
      </c>
      <c r="K17" s="4">
        <v>0</v>
      </c>
      <c r="L17" s="4"/>
      <c r="M17" s="1"/>
    </row>
    <row r="18" spans="2:13" ht="15" x14ac:dyDescent="0.25">
      <c r="B18" s="97">
        <f t="shared" si="0"/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/>
      <c r="M18" s="1"/>
    </row>
    <row r="19" spans="2:13" ht="15" x14ac:dyDescent="0.25">
      <c r="B19" s="97">
        <f t="shared" si="0"/>
        <v>17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/>
      <c r="M19" s="1"/>
    </row>
    <row r="20" spans="2:13" ht="15" x14ac:dyDescent="0.25">
      <c r="B20" s="97">
        <f t="shared" si="0"/>
        <v>18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1"/>
    </row>
    <row r="21" spans="2:13" ht="15" x14ac:dyDescent="0.25">
      <c r="B21" s="97">
        <f t="shared" si="0"/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/>
      <c r="M21" s="1"/>
    </row>
    <row r="22" spans="2:13" ht="15" x14ac:dyDescent="0.25">
      <c r="B22" s="97">
        <f t="shared" si="0"/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/>
      <c r="M22" s="1"/>
    </row>
    <row r="23" spans="2:13" ht="15" x14ac:dyDescent="0.25">
      <c r="B23" s="97">
        <f t="shared" si="0"/>
        <v>21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1</v>
      </c>
      <c r="K23" s="4">
        <v>0</v>
      </c>
      <c r="L23" s="4"/>
      <c r="M23" s="1"/>
    </row>
    <row r="24" spans="2:13" ht="15" x14ac:dyDescent="0.25">
      <c r="B24" s="97">
        <f t="shared" si="0"/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1</v>
      </c>
      <c r="K24" s="4">
        <v>0</v>
      </c>
      <c r="L24" s="4"/>
      <c r="M24" s="1"/>
    </row>
    <row r="25" spans="2:13" ht="15" x14ac:dyDescent="0.25">
      <c r="B25" s="97">
        <f t="shared" si="0"/>
        <v>23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/>
      <c r="J25" s="4">
        <v>0</v>
      </c>
      <c r="K25" s="4">
        <v>0</v>
      </c>
      <c r="L25" s="4"/>
      <c r="M25" s="1"/>
    </row>
    <row r="26" spans="2:13" ht="15" x14ac:dyDescent="0.25">
      <c r="B26" s="97">
        <f t="shared" si="0"/>
        <v>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/>
      <c r="J26" s="4">
        <v>0</v>
      </c>
      <c r="K26" s="4">
        <v>0</v>
      </c>
      <c r="L26" s="4"/>
      <c r="M26" s="1"/>
    </row>
    <row r="27" spans="2:13" ht="15" x14ac:dyDescent="0.25">
      <c r="B27" s="97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/>
      <c r="J27" s="4">
        <v>0</v>
      </c>
      <c r="K27" s="4">
        <v>0</v>
      </c>
      <c r="L27" s="4"/>
      <c r="M27" s="1"/>
    </row>
    <row r="28" spans="2:13" ht="15" x14ac:dyDescent="0.25">
      <c r="B28" s="97">
        <v>26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/>
      <c r="I28" s="4"/>
      <c r="J28" s="4">
        <v>0</v>
      </c>
      <c r="K28" s="4">
        <v>0</v>
      </c>
      <c r="L28" s="4"/>
      <c r="M28" s="1"/>
    </row>
    <row r="29" spans="2:13" ht="15" x14ac:dyDescent="0.25">
      <c r="B29" s="97">
        <v>27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1"/>
    </row>
    <row r="30" spans="2:13" ht="15" x14ac:dyDescent="0.25">
      <c r="B30" s="97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"/>
    </row>
    <row r="31" spans="2:13" ht="15" x14ac:dyDescent="0.25">
      <c r="B31" s="97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1"/>
    </row>
    <row r="32" spans="2:13" ht="15" x14ac:dyDescent="0.25">
      <c r="B32" s="97">
        <v>30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"/>
    </row>
    <row r="33" spans="2:16" ht="15" x14ac:dyDescent="0.25">
      <c r="B33" s="97">
        <v>31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"/>
    </row>
    <row r="34" spans="2:16" ht="15" x14ac:dyDescent="0.25">
      <c r="B34" s="97">
        <v>32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"/>
    </row>
    <row r="35" spans="2:16" ht="15" x14ac:dyDescent="0.25">
      <c r="B35" s="97">
        <v>33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"/>
    </row>
    <row r="36" spans="2:16" ht="15" x14ac:dyDescent="0.25">
      <c r="B36" s="97">
        <v>34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"/>
    </row>
    <row r="37" spans="2:16" ht="15" x14ac:dyDescent="0.25">
      <c r="B37" s="97">
        <v>35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"/>
    </row>
    <row r="38" spans="2:16" ht="15" x14ac:dyDescent="0.25">
      <c r="B38" s="97">
        <v>36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"/>
    </row>
    <row r="39" spans="2:16" ht="15" x14ac:dyDescent="0.25">
      <c r="B39" s="97">
        <v>37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"/>
    </row>
    <row r="40" spans="2:16" ht="15" x14ac:dyDescent="0.25">
      <c r="B40" s="97">
        <v>38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"/>
    </row>
    <row r="41" spans="2:16" ht="15" x14ac:dyDescent="0.25">
      <c r="B41" s="97">
        <f t="shared" si="0"/>
        <v>39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"/>
    </row>
    <row r="42" spans="2:16" ht="15" x14ac:dyDescent="0.25">
      <c r="B42" s="97">
        <f t="shared" si="0"/>
        <v>40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"/>
    </row>
    <row r="43" spans="2:16" ht="15" x14ac:dyDescent="0.25">
      <c r="B43" s="97">
        <f t="shared" si="0"/>
        <v>41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"/>
    </row>
    <row r="44" spans="2:16" ht="15" x14ac:dyDescent="0.25">
      <c r="B44" s="97">
        <f t="shared" si="0"/>
        <v>42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"/>
    </row>
    <row r="45" spans="2:16" ht="15" x14ac:dyDescent="0.25">
      <c r="B45" s="97">
        <v>43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"/>
    </row>
    <row r="46" spans="2:16" ht="15" x14ac:dyDescent="0.25">
      <c r="B46" s="97">
        <v>44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"/>
    </row>
    <row r="47" spans="2:16" ht="15" x14ac:dyDescent="0.25">
      <c r="B47" s="97">
        <v>45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"/>
    </row>
    <row r="48" spans="2:16" ht="15.75" x14ac:dyDescent="0.25">
      <c r="B48" s="97">
        <v>46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"/>
      <c r="P48" s="121"/>
    </row>
    <row r="49" spans="2:21" ht="15.75" x14ac:dyDescent="0.25">
      <c r="B49" s="97">
        <v>47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"/>
      <c r="Q49" s="122"/>
      <c r="R49" s="122"/>
      <c r="S49" s="122"/>
      <c r="T49" s="122"/>
    </row>
    <row r="50" spans="2:21" ht="15.75" x14ac:dyDescent="0.25">
      <c r="B50" s="97">
        <v>48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"/>
      <c r="Q50" s="123"/>
      <c r="R50" s="121"/>
      <c r="S50" s="121"/>
      <c r="T50" s="121"/>
    </row>
    <row r="51" spans="2:21" ht="15.75" x14ac:dyDescent="0.25">
      <c r="B51" s="97">
        <v>49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"/>
      <c r="Q51" s="123"/>
      <c r="R51" s="121"/>
      <c r="S51" s="121"/>
      <c r="T51" s="121"/>
    </row>
    <row r="52" spans="2:21" ht="15.75" x14ac:dyDescent="0.25">
      <c r="B52" s="97">
        <f t="shared" si="0"/>
        <v>50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"/>
      <c r="T52" s="121"/>
      <c r="U52" s="124"/>
    </row>
    <row r="53" spans="2:21" ht="15" x14ac:dyDescent="0.25">
      <c r="B53" s="97">
        <f t="shared" si="0"/>
        <v>51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"/>
    </row>
    <row r="54" spans="2:21" ht="15" x14ac:dyDescent="0.25">
      <c r="B54" s="97">
        <f t="shared" si="0"/>
        <v>52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"/>
    </row>
    <row r="55" spans="2:21" ht="15" x14ac:dyDescent="0.25">
      <c r="B55" s="97">
        <f t="shared" si="0"/>
        <v>53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"/>
    </row>
    <row r="56" spans="2:21" ht="15.75" x14ac:dyDescent="0.25">
      <c r="B56" s="97">
        <f t="shared" si="0"/>
        <v>54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"/>
      <c r="P56" s="28" t="s">
        <v>2</v>
      </c>
      <c r="Q56" s="29"/>
      <c r="R56" s="29"/>
      <c r="S56" s="90"/>
      <c r="T56" s="121"/>
      <c r="U56" s="124"/>
    </row>
    <row r="57" spans="2:21" ht="15" x14ac:dyDescent="0.25">
      <c r="B57" s="97">
        <f t="shared" si="0"/>
        <v>55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"/>
      <c r="P57" s="79" t="s">
        <v>3</v>
      </c>
      <c r="Q57" s="80">
        <f>COUNT(C63:L63)</f>
        <v>9</v>
      </c>
      <c r="R57" s="29"/>
      <c r="S57" s="91"/>
    </row>
    <row r="58" spans="2:21" ht="15.75" x14ac:dyDescent="0.25">
      <c r="B58" s="97">
        <f t="shared" si="0"/>
        <v>56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"/>
      <c r="N58" s="1"/>
      <c r="O58" s="1"/>
      <c r="P58" s="79" t="s">
        <v>36</v>
      </c>
      <c r="Q58" s="99">
        <f>M64</f>
        <v>229</v>
      </c>
      <c r="R58" s="29"/>
      <c r="S58" s="91"/>
      <c r="T58" s="126"/>
      <c r="U58" s="124"/>
    </row>
    <row r="59" spans="2:21" ht="15" x14ac:dyDescent="0.25">
      <c r="B59" s="97">
        <v>57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"/>
      <c r="N59" s="1"/>
      <c r="O59" s="1"/>
      <c r="P59" s="79"/>
      <c r="Q59" s="99"/>
      <c r="R59" s="29"/>
      <c r="S59" s="91"/>
    </row>
    <row r="60" spans="2:21" ht="15" x14ac:dyDescent="0.25">
      <c r="B60" s="97">
        <v>58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"/>
      <c r="N60" s="1"/>
      <c r="O60" s="1"/>
      <c r="P60" s="79"/>
      <c r="Q60" s="99"/>
      <c r="R60" s="29"/>
      <c r="S60" s="91"/>
    </row>
    <row r="61" spans="2:21" ht="15" x14ac:dyDescent="0.25">
      <c r="B61" s="97">
        <v>59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"/>
      <c r="N61" s="1"/>
      <c r="O61" s="1"/>
      <c r="P61" s="79"/>
      <c r="Q61" s="99"/>
      <c r="R61" s="29"/>
      <c r="S61" s="91"/>
    </row>
    <row r="62" spans="2:21" ht="15" x14ac:dyDescent="0.25">
      <c r="B62" s="97">
        <v>60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"/>
      <c r="O62" s="5"/>
      <c r="P62" s="79" t="s">
        <v>4</v>
      </c>
      <c r="Q62" s="80">
        <f>SUM(C63:L63)</f>
        <v>22</v>
      </c>
      <c r="R62" s="29"/>
      <c r="S62" s="91"/>
    </row>
    <row r="63" spans="2:21" ht="15" x14ac:dyDescent="0.25">
      <c r="B63" s="92" t="s">
        <v>0</v>
      </c>
      <c r="C63" s="82">
        <f t="shared" ref="C63:K63" si="1">SUM(C3:C62)</f>
        <v>0</v>
      </c>
      <c r="D63" s="82">
        <f t="shared" si="1"/>
        <v>2</v>
      </c>
      <c r="E63" s="82">
        <f t="shared" si="1"/>
        <v>2</v>
      </c>
      <c r="F63" s="82">
        <f t="shared" si="1"/>
        <v>0</v>
      </c>
      <c r="G63" s="82">
        <f t="shared" si="1"/>
        <v>1</v>
      </c>
      <c r="H63" s="82">
        <f t="shared" si="1"/>
        <v>1</v>
      </c>
      <c r="I63" s="82">
        <f t="shared" si="1"/>
        <v>10</v>
      </c>
      <c r="J63" s="82">
        <f t="shared" si="1"/>
        <v>3</v>
      </c>
      <c r="K63" s="82">
        <f t="shared" si="1"/>
        <v>3</v>
      </c>
      <c r="L63" s="82"/>
      <c r="M63" s="87">
        <f>SUM(C63:L63)</f>
        <v>22</v>
      </c>
      <c r="N63" s="7"/>
      <c r="O63" s="8"/>
      <c r="P63" s="79" t="s">
        <v>5</v>
      </c>
      <c r="Q63" s="81">
        <f>AVERAGE(C63:L63)</f>
        <v>2.4444444444444446</v>
      </c>
      <c r="R63" s="29"/>
      <c r="S63" s="91"/>
    </row>
    <row r="64" spans="2:21" ht="15" x14ac:dyDescent="0.25">
      <c r="B64" s="92" t="s">
        <v>31</v>
      </c>
      <c r="C64" s="82">
        <f t="shared" ref="C64:K64" si="2">COUNT(C3:C62)</f>
        <v>26</v>
      </c>
      <c r="D64" s="82">
        <f t="shared" si="2"/>
        <v>26</v>
      </c>
      <c r="E64" s="82">
        <f t="shared" si="2"/>
        <v>26</v>
      </c>
      <c r="F64" s="82">
        <f t="shared" si="2"/>
        <v>26</v>
      </c>
      <c r="G64" s="82">
        <f t="shared" si="2"/>
        <v>26</v>
      </c>
      <c r="H64" s="82">
        <f t="shared" si="2"/>
        <v>25</v>
      </c>
      <c r="I64" s="82">
        <f t="shared" si="2"/>
        <v>22</v>
      </c>
      <c r="J64" s="82">
        <f t="shared" si="2"/>
        <v>26</v>
      </c>
      <c r="K64" s="82">
        <f t="shared" si="2"/>
        <v>26</v>
      </c>
      <c r="L64" s="82"/>
      <c r="M64" s="87">
        <f>SUM(C64:L64)</f>
        <v>229</v>
      </c>
      <c r="N64" s="7"/>
      <c r="O64" s="8"/>
      <c r="P64" s="79" t="s">
        <v>35</v>
      </c>
      <c r="Q64" s="81">
        <f>AVERAGE(C67:L67)</f>
        <v>2.2557088928770348E-2</v>
      </c>
      <c r="R64" s="29"/>
      <c r="S64" s="91"/>
    </row>
    <row r="65" spans="1:20" ht="17.25" x14ac:dyDescent="0.25">
      <c r="B65" s="92" t="s">
        <v>32</v>
      </c>
      <c r="C65" s="82">
        <f t="shared" ref="C65:K65" si="3">C64*4.52</f>
        <v>117.51999999999998</v>
      </c>
      <c r="D65" s="82">
        <f t="shared" si="3"/>
        <v>117.51999999999998</v>
      </c>
      <c r="E65" s="82">
        <f t="shared" si="3"/>
        <v>117.51999999999998</v>
      </c>
      <c r="F65" s="82">
        <f t="shared" si="3"/>
        <v>117.51999999999998</v>
      </c>
      <c r="G65" s="82">
        <f t="shared" si="3"/>
        <v>117.51999999999998</v>
      </c>
      <c r="H65" s="82">
        <f t="shared" si="3"/>
        <v>112.99999999999999</v>
      </c>
      <c r="I65" s="82">
        <f t="shared" si="3"/>
        <v>99.44</v>
      </c>
      <c r="J65" s="82">
        <f t="shared" si="3"/>
        <v>117.51999999999998</v>
      </c>
      <c r="K65" s="82">
        <f t="shared" si="3"/>
        <v>117.51999999999998</v>
      </c>
      <c r="L65" s="82"/>
      <c r="M65" s="82">
        <f>M64*4.52</f>
        <v>1035.08</v>
      </c>
      <c r="N65" s="7"/>
      <c r="O65" s="8"/>
      <c r="P65" s="79" t="s">
        <v>6</v>
      </c>
      <c r="Q65" s="100">
        <f>VAR(C67:L67)</f>
        <v>9.4585408124070068E-4</v>
      </c>
      <c r="R65" s="29"/>
      <c r="S65" s="91"/>
    </row>
    <row r="66" spans="1:20" ht="15" x14ac:dyDescent="0.25">
      <c r="B66" s="92" t="s">
        <v>37</v>
      </c>
      <c r="C66" s="82">
        <f t="shared" ref="C66:M66" si="4">C65/1000000</f>
        <v>1.1751999999999999E-4</v>
      </c>
      <c r="D66" s="82">
        <f t="shared" si="4"/>
        <v>1.1751999999999999E-4</v>
      </c>
      <c r="E66" s="82">
        <f t="shared" si="4"/>
        <v>1.1751999999999999E-4</v>
      </c>
      <c r="F66" s="82">
        <f t="shared" si="4"/>
        <v>1.1751999999999999E-4</v>
      </c>
      <c r="G66" s="82">
        <f t="shared" si="4"/>
        <v>1.1751999999999999E-4</v>
      </c>
      <c r="H66" s="82">
        <f t="shared" si="4"/>
        <v>1.1299999999999998E-4</v>
      </c>
      <c r="I66" s="82">
        <f t="shared" si="4"/>
        <v>9.9439999999999997E-5</v>
      </c>
      <c r="J66" s="82">
        <f t="shared" si="4"/>
        <v>1.1751999999999999E-4</v>
      </c>
      <c r="K66" s="82">
        <f t="shared" si="4"/>
        <v>1.1751999999999999E-4</v>
      </c>
      <c r="L66" s="82"/>
      <c r="M66" s="82">
        <f t="shared" si="4"/>
        <v>1.0350799999999999E-3</v>
      </c>
      <c r="N66" s="7"/>
      <c r="O66" s="8"/>
      <c r="P66" s="79"/>
      <c r="Q66" s="100"/>
      <c r="R66" s="29"/>
      <c r="S66" s="91"/>
    </row>
    <row r="67" spans="1:20" ht="15" x14ac:dyDescent="0.25">
      <c r="B67" s="92" t="s">
        <v>33</v>
      </c>
      <c r="C67" s="83">
        <f t="shared" ref="C67:M67" si="5">C63/C65</f>
        <v>0</v>
      </c>
      <c r="D67" s="83">
        <f t="shared" si="5"/>
        <v>1.7018379850238258E-2</v>
      </c>
      <c r="E67" s="83">
        <f t="shared" si="5"/>
        <v>1.7018379850238258E-2</v>
      </c>
      <c r="F67" s="83">
        <f t="shared" si="5"/>
        <v>0</v>
      </c>
      <c r="G67" s="83">
        <f t="shared" si="5"/>
        <v>8.5091899251191292E-3</v>
      </c>
      <c r="H67" s="83">
        <f t="shared" si="5"/>
        <v>8.8495575221238954E-3</v>
      </c>
      <c r="I67" s="83">
        <f t="shared" si="5"/>
        <v>0.1005631536604988</v>
      </c>
      <c r="J67" s="83">
        <f t="shared" si="5"/>
        <v>2.5527569775357389E-2</v>
      </c>
      <c r="K67" s="83">
        <f t="shared" si="5"/>
        <v>2.5527569775357389E-2</v>
      </c>
      <c r="L67" s="83"/>
      <c r="M67" s="83">
        <f t="shared" si="5"/>
        <v>2.1254395795494069E-2</v>
      </c>
      <c r="N67" s="10"/>
      <c r="O67" s="11"/>
      <c r="P67" s="79" t="s">
        <v>7</v>
      </c>
      <c r="Q67" s="101">
        <f>SQRT(((Q64+Q64^2/(Q64^2/(Q65-Q64))))/Q58)</f>
        <v>2.0323304768147233E-3</v>
      </c>
      <c r="R67" s="29"/>
      <c r="S67" s="91"/>
    </row>
    <row r="68" spans="1:20" ht="15" x14ac:dyDescent="0.25">
      <c r="A68" s="12"/>
      <c r="B68" s="92" t="s">
        <v>34</v>
      </c>
      <c r="C68" s="83">
        <f t="shared" ref="C68:K68" si="6">DAYS360($A71,C2)</f>
        <v>90</v>
      </c>
      <c r="D68" s="83">
        <f t="shared" si="6"/>
        <v>90</v>
      </c>
      <c r="E68" s="83">
        <f t="shared" si="6"/>
        <v>90</v>
      </c>
      <c r="F68" s="83">
        <f t="shared" si="6"/>
        <v>94</v>
      </c>
      <c r="G68" s="83">
        <f t="shared" si="6"/>
        <v>94</v>
      </c>
      <c r="H68" s="83">
        <f t="shared" si="6"/>
        <v>128</v>
      </c>
      <c r="I68" s="83">
        <f t="shared" si="6"/>
        <v>128</v>
      </c>
      <c r="J68" s="83">
        <f t="shared" si="6"/>
        <v>142</v>
      </c>
      <c r="K68" s="83">
        <f t="shared" si="6"/>
        <v>142</v>
      </c>
      <c r="L68" s="83"/>
      <c r="M68" s="125">
        <f>AVERAGE(C68:L68)</f>
        <v>110.88888888888889</v>
      </c>
      <c r="N68" s="146"/>
      <c r="O68" s="146"/>
      <c r="S68" s="91"/>
    </row>
    <row r="69" spans="1:20" ht="15.75" thickBot="1" x14ac:dyDescent="0.3">
      <c r="B69" s="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6"/>
      <c r="Q69" s="42"/>
      <c r="R69" s="27"/>
      <c r="S69" s="32"/>
    </row>
    <row r="70" spans="1:20" ht="29.25" thickTop="1" thickBot="1" x14ac:dyDescent="0.4">
      <c r="A70" s="14" t="s">
        <v>12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O70" s="17"/>
      <c r="P70" s="43" t="s">
        <v>14</v>
      </c>
      <c r="Q70" s="44"/>
      <c r="R70" s="45"/>
      <c r="S70" s="46"/>
    </row>
    <row r="71" spans="1:20" ht="19.5" thickTop="1" x14ac:dyDescent="0.3">
      <c r="A71" s="86">
        <v>43066</v>
      </c>
      <c r="B71" s="102" t="s">
        <v>51</v>
      </c>
      <c r="C71" s="176" t="s">
        <v>204</v>
      </c>
      <c r="D71" s="176"/>
      <c r="E71" s="174"/>
      <c r="F71" s="174"/>
      <c r="G71" s="174"/>
      <c r="H71" s="174"/>
      <c r="I71" s="174"/>
      <c r="J71" s="174"/>
      <c r="K71" s="162"/>
      <c r="L71" s="174" t="str">
        <f>Y1 &amp; "," &amp; AD1 &amp; "," &amp; AI1 &amp; "," &amp; AN1 &amp; "," &amp; AS1</f>
        <v>,,,,</v>
      </c>
      <c r="M71" s="174"/>
      <c r="N71" s="174" t="str">
        <f>Z1 &amp; "," &amp; AE1 &amp; "," &amp; AJ1 &amp; "," &amp; AO1 &amp; "," &amp; AT1</f>
        <v>,,,,</v>
      </c>
      <c r="O71" s="174"/>
      <c r="P71" s="52" t="s">
        <v>8</v>
      </c>
      <c r="Q71" s="53" t="str">
        <f>+A1</f>
        <v>Blue Hills Chick</v>
      </c>
      <c r="R71" s="54"/>
      <c r="S71" s="55"/>
    </row>
    <row r="72" spans="1:20" ht="18.75" x14ac:dyDescent="0.3">
      <c r="A72" s="86"/>
      <c r="B72" s="104" t="s">
        <v>39</v>
      </c>
      <c r="C72" s="176">
        <f>SUM(C66:K66)</f>
        <v>1.0350800000000001E-3</v>
      </c>
      <c r="D72" s="176"/>
      <c r="E72" s="174"/>
      <c r="F72" s="174"/>
      <c r="G72" s="174"/>
      <c r="H72" s="174"/>
      <c r="I72" s="174"/>
      <c r="J72" s="174"/>
      <c r="K72" s="162"/>
      <c r="L72" s="174"/>
      <c r="M72" s="174"/>
      <c r="N72" s="174"/>
      <c r="O72" s="174"/>
      <c r="P72" s="52" t="s">
        <v>9</v>
      </c>
      <c r="Q72" s="52">
        <f>A2</f>
        <v>2018</v>
      </c>
      <c r="R72" s="61"/>
      <c r="S72" s="55"/>
    </row>
    <row r="73" spans="1:20" ht="18.75" x14ac:dyDescent="0.3">
      <c r="A73" s="98" t="s">
        <v>11</v>
      </c>
      <c r="B73" s="104" t="s">
        <v>38</v>
      </c>
      <c r="C73" s="174">
        <f>SUM(C63:K63)</f>
        <v>22</v>
      </c>
      <c r="D73" s="174"/>
      <c r="E73" s="174"/>
      <c r="F73" s="174"/>
      <c r="G73" s="174"/>
      <c r="H73" s="174"/>
      <c r="I73" s="174"/>
      <c r="J73" s="174"/>
      <c r="K73" s="162"/>
      <c r="L73" s="174"/>
      <c r="M73" s="174"/>
      <c r="N73" s="174"/>
      <c r="O73" s="174"/>
      <c r="P73" s="62" t="s">
        <v>10</v>
      </c>
      <c r="Q73" s="109">
        <f>Q57</f>
        <v>9</v>
      </c>
      <c r="R73" s="61"/>
      <c r="S73" s="55"/>
    </row>
    <row r="74" spans="1:20" ht="18.75" x14ac:dyDescent="0.3">
      <c r="A74" s="98"/>
      <c r="B74" s="104" t="s">
        <v>40</v>
      </c>
      <c r="C74" s="174">
        <f>AVERAGE(C68:K68)</f>
        <v>110.88888888888889</v>
      </c>
      <c r="D74" s="174"/>
      <c r="E74" s="175"/>
      <c r="F74" s="175"/>
      <c r="G74" s="175"/>
      <c r="H74" s="175"/>
      <c r="I74" s="175"/>
      <c r="J74" s="175"/>
      <c r="K74" s="163"/>
      <c r="L74" s="175"/>
      <c r="M74" s="175"/>
      <c r="N74" s="175"/>
      <c r="O74" s="175"/>
      <c r="P74" s="52" t="s">
        <v>30</v>
      </c>
      <c r="Q74" s="105">
        <f>M64</f>
        <v>229</v>
      </c>
      <c r="R74" s="61"/>
      <c r="S74" s="55"/>
    </row>
    <row r="75" spans="1:20" ht="18.75" x14ac:dyDescent="0.3">
      <c r="A75" s="98"/>
      <c r="B75" s="94" t="s">
        <v>1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52" t="s">
        <v>42</v>
      </c>
      <c r="Q75" s="105">
        <f>M63</f>
        <v>22</v>
      </c>
      <c r="R75" s="61"/>
      <c r="S75" s="55"/>
    </row>
    <row r="76" spans="1:20" ht="18.75" x14ac:dyDescent="0.3">
      <c r="A76" s="22"/>
      <c r="B76" s="19">
        <v>10.9</v>
      </c>
      <c r="C76" s="171">
        <f>C73/(B76*C72*C74)</f>
        <v>17.584670456458475</v>
      </c>
      <c r="D76" s="172"/>
      <c r="E76" s="171"/>
      <c r="F76" s="172"/>
      <c r="G76" s="171"/>
      <c r="H76" s="172"/>
      <c r="I76" s="171"/>
      <c r="J76" s="172"/>
      <c r="K76" s="164"/>
      <c r="L76" s="171"/>
      <c r="M76" s="172"/>
      <c r="N76" s="171"/>
      <c r="O76" s="172"/>
      <c r="P76" s="52" t="s">
        <v>120</v>
      </c>
      <c r="Q76" s="105"/>
      <c r="R76" s="61" t="s">
        <v>48</v>
      </c>
      <c r="S76" s="55"/>
    </row>
    <row r="77" spans="1:20" ht="18.75" x14ac:dyDescent="0.3">
      <c r="A77" s="26"/>
      <c r="B77" s="24">
        <v>19.8</v>
      </c>
      <c r="C77" s="171">
        <f>C73/(B77*C74*C72)</f>
        <v>9.6804498977473443</v>
      </c>
      <c r="D77" s="172"/>
      <c r="E77" s="171"/>
      <c r="F77" s="172"/>
      <c r="G77" s="171"/>
      <c r="H77" s="172"/>
      <c r="I77" s="171"/>
      <c r="J77" s="172"/>
      <c r="K77" s="164"/>
      <c r="L77" s="171"/>
      <c r="M77" s="172"/>
      <c r="N77" s="171"/>
      <c r="O77" s="172"/>
      <c r="P77" s="106" t="s">
        <v>43</v>
      </c>
      <c r="Q77" s="63"/>
      <c r="R77" s="61"/>
      <c r="S77" s="55"/>
    </row>
    <row r="78" spans="1:20" ht="18.75" x14ac:dyDescent="0.3">
      <c r="B78" s="19">
        <v>28.7</v>
      </c>
      <c r="C78" s="171">
        <f>C73/(B78*C72*C74)</f>
        <v>6.6784985357281323</v>
      </c>
      <c r="D78" s="172"/>
      <c r="E78" s="171"/>
      <c r="F78" s="172"/>
      <c r="G78" s="171"/>
      <c r="H78" s="172"/>
      <c r="I78" s="171"/>
      <c r="J78" s="172"/>
      <c r="K78" s="164"/>
      <c r="L78" s="171"/>
      <c r="M78" s="172"/>
      <c r="N78" s="171"/>
      <c r="O78" s="172"/>
      <c r="P78" s="62" t="s">
        <v>44</v>
      </c>
      <c r="Q78" s="107">
        <f>AVERAGE(C76:D78)</f>
        <v>11.314539629977984</v>
      </c>
      <c r="R78" s="61" t="s">
        <v>48</v>
      </c>
      <c r="S78" s="110">
        <f>Q78/0.386</f>
        <v>29.312278834139857</v>
      </c>
      <c r="T78" s="110" t="s">
        <v>49</v>
      </c>
    </row>
    <row r="79" spans="1:20" ht="18.75" x14ac:dyDescent="0.3">
      <c r="B79" s="1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71" t="s">
        <v>94</v>
      </c>
      <c r="Q79" s="72">
        <f>_xlfn.VAR.S(C76:D78)</f>
        <v>31.738833430867942</v>
      </c>
      <c r="R79" s="61" t="s">
        <v>48</v>
      </c>
      <c r="S79" s="110">
        <f>Q79/0.386</f>
        <v>82.224957074787412</v>
      </c>
      <c r="T79" s="110" t="s">
        <v>49</v>
      </c>
    </row>
    <row r="80" spans="1:20" ht="18.75" x14ac:dyDescent="0.3">
      <c r="B80" s="77" t="s">
        <v>41</v>
      </c>
      <c r="C80" s="173">
        <f>AVERAGE(C76:C78)</f>
        <v>11.314539629977984</v>
      </c>
      <c r="D80" s="173"/>
      <c r="E80" s="173"/>
      <c r="F80" s="173"/>
      <c r="G80" s="173"/>
      <c r="H80" s="173"/>
      <c r="I80" s="173"/>
      <c r="J80" s="173"/>
      <c r="K80" s="165"/>
      <c r="L80" s="173"/>
      <c r="M80" s="173"/>
      <c r="N80" s="173"/>
      <c r="O80" s="173"/>
      <c r="P80" s="71" t="s">
        <v>46</v>
      </c>
      <c r="Q80" s="72">
        <f>MAX(C76:K78)</f>
        <v>17.584670456458475</v>
      </c>
      <c r="R80" s="61" t="s">
        <v>48</v>
      </c>
      <c r="S80" s="110">
        <f>Q80/0.386</f>
        <v>45.556141078907963</v>
      </c>
      <c r="T80" s="110" t="s">
        <v>49</v>
      </c>
    </row>
    <row r="81" spans="1:21" ht="18.75" x14ac:dyDescent="0.3">
      <c r="O81" s="21"/>
      <c r="P81" s="71" t="s">
        <v>47</v>
      </c>
      <c r="Q81" s="72">
        <f>MIN(C76:K78)</f>
        <v>6.6784985357281323</v>
      </c>
      <c r="R81" s="108" t="s">
        <v>48</v>
      </c>
      <c r="S81" s="110">
        <f>Q81/0.386</f>
        <v>17.301809678052155</v>
      </c>
      <c r="T81" s="110" t="s">
        <v>49</v>
      </c>
    </row>
    <row r="82" spans="1:21" ht="18.75" x14ac:dyDescent="0.3">
      <c r="O82" s="21"/>
      <c r="P82" s="68" t="s">
        <v>53</v>
      </c>
      <c r="Q82" s="72">
        <f>COUNT(C76:K78)</f>
        <v>3</v>
      </c>
      <c r="R82" s="61"/>
      <c r="S82" s="55"/>
    </row>
    <row r="83" spans="1:21" ht="18.75" x14ac:dyDescent="0.3">
      <c r="O83" s="21"/>
      <c r="P83" s="66"/>
      <c r="Q83" s="72"/>
      <c r="R83" s="61"/>
      <c r="S83" s="61"/>
    </row>
    <row r="84" spans="1:21" ht="18.75" x14ac:dyDescent="0.3">
      <c r="A84" s="18"/>
      <c r="O84" s="21"/>
      <c r="P84" s="68" t="s">
        <v>95</v>
      </c>
      <c r="Q84" s="69"/>
      <c r="R84" s="110">
        <f>Q78-Q87</f>
        <v>4.3382957639058111</v>
      </c>
      <c r="S84" s="110">
        <f>Q78+Q87</f>
        <v>18.290783496050157</v>
      </c>
      <c r="T84" s="111" t="s">
        <v>48</v>
      </c>
      <c r="U84"/>
    </row>
    <row r="85" spans="1:21" ht="18.75" x14ac:dyDescent="0.3">
      <c r="M85" s="146"/>
      <c r="N85" s="146"/>
      <c r="O85" s="21"/>
      <c r="P85" s="71"/>
      <c r="Q85" s="74"/>
      <c r="R85" s="110">
        <f>R84/0.385</f>
        <v>11.268300685469638</v>
      </c>
      <c r="S85" s="110">
        <f>S84/0.386</f>
        <v>47.385449471632526</v>
      </c>
      <c r="T85" s="111" t="s">
        <v>49</v>
      </c>
    </row>
    <row r="86" spans="1:21" ht="23.25" x14ac:dyDescent="0.35">
      <c r="M86" s="38"/>
      <c r="N86" s="39"/>
      <c r="O86" s="21"/>
      <c r="P86" s="2" t="s">
        <v>97</v>
      </c>
      <c r="Q86" s="18"/>
    </row>
    <row r="87" spans="1:21" ht="23.25" x14ac:dyDescent="0.35">
      <c r="M87" s="39"/>
      <c r="N87" s="41"/>
      <c r="O87" s="21"/>
      <c r="P87" s="2" t="s">
        <v>52</v>
      </c>
      <c r="Q87" s="18">
        <f>2.1448*Q88</f>
        <v>6.9762438660721733</v>
      </c>
    </row>
    <row r="88" spans="1:21" s="18" customFormat="1" ht="23.2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9"/>
      <c r="N88" s="41"/>
      <c r="O88" s="27"/>
      <c r="P88" s="2" t="s">
        <v>90</v>
      </c>
      <c r="Q88" s="18">
        <f>SQRT(Q79)/SQRT(Q82)</f>
        <v>3.2526314183477121</v>
      </c>
    </row>
    <row r="89" spans="1:21" ht="15" x14ac:dyDescent="0.25">
      <c r="M89" s="48"/>
      <c r="N89" s="49"/>
      <c r="Q89" s="18"/>
      <c r="R89" s="31"/>
      <c r="S89" s="31"/>
    </row>
    <row r="90" spans="1:21" ht="17.25" customHeight="1" x14ac:dyDescent="0.25">
      <c r="M90" s="57"/>
      <c r="N90" s="49"/>
      <c r="Q90" s="18"/>
      <c r="R90" s="31"/>
      <c r="S90" s="31"/>
    </row>
    <row r="91" spans="1:21" ht="15.75" customHeight="1" x14ac:dyDescent="0.25">
      <c r="M91" s="57"/>
      <c r="N91" s="49"/>
      <c r="P91" s="18"/>
      <c r="Q91" s="18"/>
      <c r="R91" s="31"/>
      <c r="S91" s="31"/>
      <c r="U91" s="36"/>
    </row>
    <row r="92" spans="1:21" ht="15" customHeigh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57"/>
      <c r="N92" s="49"/>
      <c r="P92" s="121" t="s">
        <v>114</v>
      </c>
    </row>
    <row r="93" spans="1:21" ht="15.75" customHeight="1" x14ac:dyDescent="0.25">
      <c r="M93" s="48"/>
      <c r="N93" s="49"/>
      <c r="Q93" s="122" t="s">
        <v>115</v>
      </c>
      <c r="R93" s="122" t="s">
        <v>116</v>
      </c>
      <c r="S93" s="122" t="s">
        <v>117</v>
      </c>
      <c r="T93" s="122" t="s">
        <v>118</v>
      </c>
    </row>
    <row r="94" spans="1:21" ht="16.5" customHeight="1" x14ac:dyDescent="0.25">
      <c r="M94" s="48"/>
      <c r="N94" s="49"/>
      <c r="O94" s="146"/>
      <c r="Q94" s="123">
        <v>42703</v>
      </c>
      <c r="R94" s="121">
        <v>24</v>
      </c>
      <c r="S94" s="121">
        <f>Q94-$A$71</f>
        <v>-363</v>
      </c>
      <c r="T94" s="121">
        <f>R94*S94*$B$77</f>
        <v>-172497.6</v>
      </c>
    </row>
    <row r="95" spans="1:21" ht="16.5" customHeight="1" x14ac:dyDescent="0.35">
      <c r="M95" s="48"/>
      <c r="N95" s="49"/>
      <c r="O95" s="39"/>
      <c r="Q95" s="123">
        <v>42704</v>
      </c>
      <c r="R95" s="121">
        <v>17</v>
      </c>
      <c r="S95" s="121">
        <f t="shared" ref="S95:S97" si="7">Q95-$A$71</f>
        <v>-362</v>
      </c>
      <c r="T95" s="121">
        <f t="shared" ref="T95:T97" si="8">R95*S95*$B$77</f>
        <v>-121849.20000000001</v>
      </c>
    </row>
    <row r="96" spans="1:21" ht="16.5" customHeight="1" x14ac:dyDescent="0.25">
      <c r="M96" s="48"/>
      <c r="N96" s="49"/>
      <c r="O96" s="41"/>
      <c r="Q96" s="123">
        <v>42707</v>
      </c>
      <c r="R96" s="121">
        <v>9</v>
      </c>
      <c r="S96" s="121">
        <f t="shared" si="7"/>
        <v>-359</v>
      </c>
      <c r="T96" s="121">
        <f t="shared" si="8"/>
        <v>-63973.8</v>
      </c>
    </row>
    <row r="97" spans="1:23" ht="15.75" x14ac:dyDescent="0.2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48"/>
      <c r="N97" s="49"/>
      <c r="O97" s="41"/>
      <c r="Q97" s="123">
        <v>42708</v>
      </c>
      <c r="R97" s="121">
        <v>8</v>
      </c>
      <c r="S97" s="121">
        <f t="shared" si="7"/>
        <v>-358</v>
      </c>
      <c r="T97" s="121">
        <f t="shared" si="8"/>
        <v>-56707.200000000004</v>
      </c>
    </row>
    <row r="98" spans="1:23" x14ac:dyDescent="0.2">
      <c r="A98" s="64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48"/>
      <c r="N98" s="49"/>
      <c r="O98" s="50"/>
      <c r="P98" s="40"/>
      <c r="R98" s="51"/>
      <c r="S98" s="51"/>
      <c r="T98" s="51"/>
    </row>
    <row r="99" spans="1:23" ht="15.75" x14ac:dyDescent="0.25">
      <c r="A99" s="64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48"/>
      <c r="N99" s="49"/>
      <c r="O99" s="50"/>
      <c r="P99" s="40"/>
      <c r="S99" s="121">
        <f>Q76*Q78*B77*M68</f>
        <v>0</v>
      </c>
      <c r="T99" s="124" t="s">
        <v>119</v>
      </c>
    </row>
    <row r="100" spans="1:23" ht="15.75" x14ac:dyDescent="0.25">
      <c r="A100" s="64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48"/>
      <c r="N100" s="49"/>
      <c r="O100" s="50"/>
      <c r="P100" s="40"/>
      <c r="S100" s="121">
        <f>S99-T97-T96-T95-T94</f>
        <v>415027.80000000005</v>
      </c>
      <c r="T100" s="124" t="s">
        <v>121</v>
      </c>
    </row>
    <row r="101" spans="1:23" x14ac:dyDescent="0.2">
      <c r="A101" s="64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48"/>
      <c r="N101" s="49"/>
      <c r="O101" s="50"/>
      <c r="P101" s="40"/>
    </row>
    <row r="102" spans="1:23" ht="15.75" x14ac:dyDescent="0.25">
      <c r="A102" s="67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48"/>
      <c r="N102" s="49"/>
      <c r="O102" s="50"/>
      <c r="P102" s="58"/>
      <c r="S102" s="126" t="e">
        <f>S100/(B77*M68*Q76)</f>
        <v>#DIV/0!</v>
      </c>
      <c r="T102" s="124" t="s">
        <v>122</v>
      </c>
    </row>
    <row r="103" spans="1:23" x14ac:dyDescent="0.2">
      <c r="A103" s="67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48"/>
      <c r="N103" s="49"/>
      <c r="O103" s="50"/>
      <c r="P103" s="58"/>
    </row>
    <row r="104" spans="1:23" x14ac:dyDescent="0.2">
      <c r="A104" s="73"/>
      <c r="M104" s="48"/>
      <c r="N104" s="49"/>
      <c r="O104" s="50"/>
      <c r="P104" s="58"/>
    </row>
    <row r="105" spans="1:23" x14ac:dyDescent="0.2">
      <c r="A105" s="73"/>
      <c r="B105" s="27"/>
      <c r="M105" s="48"/>
      <c r="N105" s="49"/>
      <c r="O105" s="50"/>
      <c r="P105" s="65"/>
    </row>
    <row r="106" spans="1:23" s="60" customFormat="1" x14ac:dyDescent="0.2">
      <c r="A106" s="73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8"/>
      <c r="N106" s="49"/>
      <c r="O106" s="50"/>
      <c r="P106" s="58"/>
      <c r="Q106" s="2"/>
      <c r="R106" s="2"/>
      <c r="S106" s="2"/>
      <c r="T106" s="2"/>
      <c r="U106" s="2"/>
      <c r="V106" s="2"/>
      <c r="W106" s="2"/>
    </row>
    <row r="107" spans="1:23" s="60" customFormat="1" x14ac:dyDescent="0.2">
      <c r="A107" s="7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8"/>
      <c r="N107" s="49"/>
      <c r="O107" s="50"/>
      <c r="P107" s="58"/>
      <c r="Q107" s="2"/>
      <c r="R107" s="2" t="s">
        <v>123</v>
      </c>
      <c r="S107" s="2"/>
      <c r="T107" s="2"/>
      <c r="U107" s="2"/>
      <c r="V107" s="2"/>
      <c r="W107" s="2"/>
    </row>
    <row r="108" spans="1:23" s="60" customFormat="1" x14ac:dyDescent="0.2">
      <c r="A108" s="7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8"/>
      <c r="N108" s="49"/>
      <c r="O108" s="50"/>
      <c r="P108" s="58"/>
      <c r="Q108" s="59"/>
      <c r="R108" s="51"/>
      <c r="U108" s="2"/>
      <c r="V108" s="2"/>
      <c r="W108" s="2"/>
    </row>
    <row r="109" spans="1:23" s="60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8"/>
      <c r="N109" s="49"/>
      <c r="O109" s="50"/>
      <c r="P109" s="58"/>
      <c r="Q109" s="59"/>
      <c r="R109" s="51"/>
      <c r="U109" s="2"/>
      <c r="V109" s="2"/>
      <c r="W109" s="2"/>
    </row>
    <row r="110" spans="1:23" s="60" customFormat="1" x14ac:dyDescent="0.2">
      <c r="A110" s="22"/>
      <c r="B110" s="1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48"/>
      <c r="N110" s="49"/>
      <c r="O110" s="50"/>
      <c r="P110" s="58"/>
      <c r="Q110" s="59"/>
      <c r="R110" s="51"/>
    </row>
    <row r="111" spans="1:23" s="60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48"/>
      <c r="N111" s="49"/>
      <c r="O111" s="50"/>
      <c r="P111" s="58"/>
      <c r="Q111" s="59"/>
      <c r="R111" s="51"/>
    </row>
    <row r="112" spans="1:23" s="60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48"/>
      <c r="N112" s="49"/>
      <c r="O112" s="50"/>
      <c r="P112" s="58"/>
      <c r="Q112" s="59"/>
      <c r="R112" s="51"/>
    </row>
    <row r="113" spans="13:20" x14ac:dyDescent="0.2">
      <c r="M113" s="48"/>
      <c r="N113" s="49"/>
      <c r="O113" s="50"/>
      <c r="P113" s="58"/>
      <c r="Q113" s="59"/>
      <c r="R113" s="51"/>
      <c r="S113" s="51"/>
      <c r="T113" s="51"/>
    </row>
    <row r="114" spans="13:20" x14ac:dyDescent="0.2">
      <c r="M114" s="48"/>
      <c r="N114" s="49"/>
      <c r="O114" s="50"/>
      <c r="P114" s="58"/>
      <c r="Q114" s="59"/>
      <c r="R114" s="51"/>
      <c r="S114" s="51"/>
      <c r="T114" s="51"/>
    </row>
    <row r="115" spans="13:20" x14ac:dyDescent="0.2">
      <c r="M115" s="48"/>
      <c r="N115" s="49"/>
      <c r="O115" s="50"/>
      <c r="P115" s="58"/>
      <c r="Q115" s="59"/>
      <c r="R115" s="51"/>
      <c r="S115" s="51"/>
      <c r="T115" s="51"/>
    </row>
    <row r="116" spans="13:20" x14ac:dyDescent="0.2">
      <c r="M116" s="48"/>
      <c r="N116" s="49"/>
      <c r="O116" s="50"/>
      <c r="P116" s="58"/>
      <c r="Q116" s="51"/>
      <c r="R116" s="51"/>
      <c r="S116" s="51"/>
      <c r="T116" s="51"/>
    </row>
    <row r="117" spans="13:20" x14ac:dyDescent="0.2">
      <c r="M117" s="40"/>
      <c r="N117" s="50"/>
      <c r="O117" s="50"/>
      <c r="P117" s="58"/>
      <c r="Q117" s="51"/>
      <c r="R117" s="51"/>
      <c r="S117" s="51"/>
      <c r="T117" s="51"/>
    </row>
    <row r="118" spans="13:20" x14ac:dyDescent="0.2">
      <c r="M118" s="40"/>
      <c r="N118" s="40"/>
      <c r="O118" s="50"/>
      <c r="P118" s="58"/>
      <c r="Q118" s="51"/>
      <c r="R118" s="51"/>
      <c r="S118" s="51"/>
      <c r="T118" s="51"/>
    </row>
    <row r="119" spans="13:20" x14ac:dyDescent="0.2">
      <c r="O119" s="50"/>
      <c r="P119" s="58"/>
      <c r="Q119" s="51"/>
      <c r="R119" s="51"/>
      <c r="S119" s="51"/>
      <c r="T119" s="51"/>
    </row>
    <row r="120" spans="13:20" x14ac:dyDescent="0.2">
      <c r="O120" s="50"/>
      <c r="P120" s="76"/>
      <c r="Q120" s="51"/>
      <c r="R120" s="51"/>
      <c r="S120" s="51"/>
      <c r="T120" s="51"/>
    </row>
    <row r="121" spans="13:20" x14ac:dyDescent="0.2">
      <c r="O121" s="50"/>
      <c r="P121" s="76"/>
      <c r="Q121" s="51"/>
      <c r="R121" s="51"/>
      <c r="S121" s="51"/>
      <c r="T121" s="51"/>
    </row>
    <row r="122" spans="13:20" x14ac:dyDescent="0.2">
      <c r="O122" s="50"/>
      <c r="P122" s="76"/>
      <c r="Q122" s="51"/>
      <c r="R122" s="51"/>
      <c r="S122" s="51"/>
      <c r="T122" s="51"/>
    </row>
    <row r="123" spans="13:20" x14ac:dyDescent="0.2">
      <c r="O123" s="50"/>
      <c r="P123" s="76"/>
      <c r="Q123" s="51"/>
      <c r="R123" s="51"/>
      <c r="S123" s="51"/>
      <c r="T123" s="51"/>
    </row>
    <row r="124" spans="13:20" x14ac:dyDescent="0.2">
      <c r="O124" s="50"/>
      <c r="P124" s="76"/>
      <c r="Q124" s="51"/>
      <c r="R124" s="51"/>
      <c r="S124" s="51"/>
      <c r="T124" s="51"/>
    </row>
    <row r="125" spans="13:20" x14ac:dyDescent="0.2">
      <c r="O125" s="50"/>
      <c r="P125" s="76"/>
      <c r="Q125" s="51"/>
      <c r="R125" s="51"/>
      <c r="S125" s="51"/>
      <c r="T125" s="51"/>
    </row>
    <row r="126" spans="13:20" x14ac:dyDescent="0.2">
      <c r="O126" s="50"/>
      <c r="P126" s="76"/>
      <c r="Q126" s="51"/>
      <c r="R126" s="51"/>
      <c r="S126" s="51"/>
      <c r="T126" s="51"/>
    </row>
    <row r="127" spans="13:20" x14ac:dyDescent="0.2">
      <c r="O127" s="40"/>
      <c r="P127" s="76"/>
      <c r="Q127" s="51"/>
      <c r="R127" s="51"/>
      <c r="S127" s="51"/>
      <c r="T127" s="51"/>
    </row>
    <row r="128" spans="13:20" x14ac:dyDescent="0.2">
      <c r="P128" s="76"/>
      <c r="Q128" s="51"/>
    </row>
    <row r="129" spans="16:17" x14ac:dyDescent="0.2">
      <c r="P129" s="76"/>
      <c r="Q129" s="51"/>
    </row>
    <row r="130" spans="16:17" x14ac:dyDescent="0.2">
      <c r="P130" s="76"/>
      <c r="Q130" s="51"/>
    </row>
  </sheetData>
  <mergeCells count="48">
    <mergeCell ref="L71:M71"/>
    <mergeCell ref="N71:O71"/>
    <mergeCell ref="C72:D72"/>
    <mergeCell ref="E72:F72"/>
    <mergeCell ref="G72:H72"/>
    <mergeCell ref="I72:J72"/>
    <mergeCell ref="C71:D71"/>
    <mergeCell ref="E71:F71"/>
    <mergeCell ref="G71:H71"/>
    <mergeCell ref="I71:J71"/>
    <mergeCell ref="L72:M72"/>
    <mergeCell ref="N72:O72"/>
    <mergeCell ref="N73:O73"/>
    <mergeCell ref="C74:D74"/>
    <mergeCell ref="E74:F74"/>
    <mergeCell ref="G74:H74"/>
    <mergeCell ref="I74:J74"/>
    <mergeCell ref="L74:M74"/>
    <mergeCell ref="N74:O74"/>
    <mergeCell ref="C73:D73"/>
    <mergeCell ref="E73:F73"/>
    <mergeCell ref="G73:H73"/>
    <mergeCell ref="I73:J73"/>
    <mergeCell ref="L73:M73"/>
    <mergeCell ref="L76:M76"/>
    <mergeCell ref="N76:O76"/>
    <mergeCell ref="C77:D77"/>
    <mergeCell ref="E77:F77"/>
    <mergeCell ref="G77:H77"/>
    <mergeCell ref="I77:J77"/>
    <mergeCell ref="C76:D76"/>
    <mergeCell ref="E76:F76"/>
    <mergeCell ref="G76:H76"/>
    <mergeCell ref="I76:J76"/>
    <mergeCell ref="L77:M77"/>
    <mergeCell ref="N77:O77"/>
    <mergeCell ref="N78:O78"/>
    <mergeCell ref="L80:M80"/>
    <mergeCell ref="N80:O80"/>
    <mergeCell ref="C80:D80"/>
    <mergeCell ref="E80:F80"/>
    <mergeCell ref="G80:H80"/>
    <mergeCell ref="I80:J80"/>
    <mergeCell ref="C78:D78"/>
    <mergeCell ref="E78:F78"/>
    <mergeCell ref="G78:H78"/>
    <mergeCell ref="I78:J78"/>
    <mergeCell ref="L78:M78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3"/>
  <sheetViews>
    <sheetView workbookViewId="0">
      <pane xSplit="2" ySplit="5" topLeftCell="BR57" activePane="bottomRight" state="frozen"/>
      <selection pane="topRight" activeCell="C1" sqref="C1"/>
      <selection pane="bottomLeft" activeCell="A3" sqref="A3"/>
      <selection pane="bottomRight" activeCell="E91" sqref="E91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31" width="11.42578125" style="2" customWidth="1"/>
    <col min="32" max="36" width="17" style="2" bestFit="1" customWidth="1"/>
    <col min="37" max="41" width="11.42578125" style="2" customWidth="1"/>
    <col min="42" max="45" width="17" style="2" bestFit="1" customWidth="1"/>
    <col min="46" max="46" width="15" style="2" bestFit="1" customWidth="1"/>
    <col min="47" max="51" width="14.28515625" style="2" bestFit="1" customWidth="1"/>
    <col min="52" max="56" width="11.42578125" style="2" customWidth="1"/>
    <col min="57" max="57" width="13.7109375" style="2" bestFit="1" customWidth="1"/>
    <col min="58" max="60" width="14.28515625" style="2" bestFit="1" customWidth="1"/>
    <col min="61" max="73" width="11.42578125" style="2" customWidth="1"/>
    <col min="74" max="74" width="10.7109375" style="2" customWidth="1"/>
    <col min="75" max="75" width="9.42578125" style="2" customWidth="1"/>
    <col min="76" max="76" width="2.5703125" style="2" customWidth="1"/>
    <col min="77" max="77" width="35.140625" style="2" customWidth="1"/>
    <col min="78" max="78" width="15.28515625" style="2" bestFit="1" customWidth="1"/>
    <col min="79" max="79" width="12.28515625" style="2" bestFit="1" customWidth="1"/>
    <col min="80" max="80" width="20.42578125" style="2" bestFit="1" customWidth="1"/>
    <col min="81" max="81" width="15.5703125" style="2" bestFit="1" customWidth="1"/>
    <col min="82" max="16384" width="11.42578125" style="2"/>
  </cols>
  <sheetData>
    <row r="1" spans="1:77" ht="15.75" customHeight="1" x14ac:dyDescent="0.25">
      <c r="A1" s="177" t="s">
        <v>134</v>
      </c>
      <c r="B1" s="84"/>
      <c r="C1" s="150" t="s">
        <v>139</v>
      </c>
      <c r="D1" s="85" t="s">
        <v>24</v>
      </c>
      <c r="E1" s="153" t="s">
        <v>140</v>
      </c>
      <c r="F1" s="85" t="s">
        <v>141</v>
      </c>
      <c r="G1" s="153" t="s">
        <v>142</v>
      </c>
      <c r="H1" s="85" t="s">
        <v>143</v>
      </c>
      <c r="I1" s="153" t="s">
        <v>144</v>
      </c>
      <c r="J1" s="85" t="s">
        <v>145</v>
      </c>
      <c r="K1" s="153" t="s">
        <v>146</v>
      </c>
      <c r="L1" s="85" t="s">
        <v>147</v>
      </c>
      <c r="M1" s="153" t="s">
        <v>148</v>
      </c>
      <c r="N1" s="85" t="s">
        <v>149</v>
      </c>
      <c r="O1" s="153" t="s">
        <v>150</v>
      </c>
      <c r="P1" s="85" t="s">
        <v>151</v>
      </c>
      <c r="Q1" s="153" t="s">
        <v>152</v>
      </c>
      <c r="R1" s="85" t="s">
        <v>153</v>
      </c>
      <c r="S1" s="153" t="s">
        <v>154</v>
      </c>
      <c r="T1" s="85" t="s">
        <v>155</v>
      </c>
      <c r="U1" s="153" t="s">
        <v>156</v>
      </c>
      <c r="V1" s="85" t="s">
        <v>157</v>
      </c>
      <c r="W1" s="153" t="s">
        <v>158</v>
      </c>
      <c r="X1" s="85" t="s">
        <v>159</v>
      </c>
      <c r="Y1" s="153" t="s">
        <v>160</v>
      </c>
      <c r="Z1" s="85" t="s">
        <v>161</v>
      </c>
      <c r="AA1" s="153" t="s">
        <v>162</v>
      </c>
      <c r="AB1" s="85" t="s">
        <v>163</v>
      </c>
      <c r="AC1" s="153" t="s">
        <v>164</v>
      </c>
      <c r="AD1" s="85" t="s">
        <v>165</v>
      </c>
      <c r="AE1" s="153" t="s">
        <v>166</v>
      </c>
      <c r="AF1" s="85" t="s">
        <v>126</v>
      </c>
      <c r="AG1" s="153" t="s">
        <v>167</v>
      </c>
      <c r="AH1" s="85" t="s">
        <v>168</v>
      </c>
      <c r="AI1" s="153" t="s">
        <v>169</v>
      </c>
      <c r="AJ1" s="85" t="s">
        <v>170</v>
      </c>
      <c r="AK1" s="153" t="s">
        <v>171</v>
      </c>
      <c r="AL1" s="85" t="s">
        <v>172</v>
      </c>
      <c r="AM1" s="153" t="s">
        <v>173</v>
      </c>
      <c r="AN1" s="85" t="s">
        <v>174</v>
      </c>
      <c r="AO1" s="153" t="s">
        <v>175</v>
      </c>
      <c r="AP1" s="85" t="s">
        <v>176</v>
      </c>
      <c r="AQ1" s="153" t="s">
        <v>177</v>
      </c>
      <c r="AR1" s="85" t="s">
        <v>178</v>
      </c>
      <c r="AS1" s="153" t="s">
        <v>179</v>
      </c>
      <c r="AT1" s="85" t="s">
        <v>180</v>
      </c>
      <c r="AU1" s="153" t="s">
        <v>181</v>
      </c>
      <c r="AV1" s="85" t="s">
        <v>182</v>
      </c>
      <c r="AW1" s="153" t="s">
        <v>183</v>
      </c>
      <c r="AX1" s="85" t="s">
        <v>184</v>
      </c>
      <c r="AY1" s="153" t="s">
        <v>185</v>
      </c>
      <c r="AZ1" s="85" t="s">
        <v>186</v>
      </c>
      <c r="BA1" s="153" t="s">
        <v>187</v>
      </c>
      <c r="BB1" s="85" t="s">
        <v>188</v>
      </c>
      <c r="BC1" s="153" t="s">
        <v>189</v>
      </c>
      <c r="BD1" s="85" t="s">
        <v>190</v>
      </c>
      <c r="BE1" s="153" t="s">
        <v>191</v>
      </c>
      <c r="BF1" s="85" t="s">
        <v>192</v>
      </c>
      <c r="BG1" s="153" t="s">
        <v>193</v>
      </c>
      <c r="BH1" s="153" t="s">
        <v>194</v>
      </c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1"/>
      <c r="BW1" s="1"/>
      <c r="BX1" s="1"/>
    </row>
    <row r="2" spans="1:77" x14ac:dyDescent="0.2">
      <c r="A2" s="177"/>
      <c r="B2" s="148"/>
      <c r="C2" s="151" t="s">
        <v>195</v>
      </c>
      <c r="D2" s="149" t="s">
        <v>195</v>
      </c>
      <c r="E2" s="154" t="s">
        <v>195</v>
      </c>
      <c r="F2" s="149" t="s">
        <v>195</v>
      </c>
      <c r="G2" s="154" t="s">
        <v>195</v>
      </c>
      <c r="H2" s="149" t="s">
        <v>195</v>
      </c>
      <c r="I2" s="154" t="s">
        <v>195</v>
      </c>
      <c r="J2" s="149" t="s">
        <v>195</v>
      </c>
      <c r="K2" s="154" t="s">
        <v>195</v>
      </c>
      <c r="L2" s="149" t="s">
        <v>196</v>
      </c>
      <c r="M2" s="154" t="s">
        <v>196</v>
      </c>
      <c r="N2" s="149" t="s">
        <v>196</v>
      </c>
      <c r="O2" s="154" t="s">
        <v>196</v>
      </c>
      <c r="P2" s="149" t="s">
        <v>196</v>
      </c>
      <c r="Q2" s="154" t="s">
        <v>196</v>
      </c>
      <c r="R2" s="149" t="s">
        <v>196</v>
      </c>
      <c r="S2" s="154" t="s">
        <v>196</v>
      </c>
      <c r="T2" s="149" t="s">
        <v>196</v>
      </c>
      <c r="U2" s="154" t="s">
        <v>196</v>
      </c>
      <c r="V2" s="149" t="s">
        <v>196</v>
      </c>
      <c r="W2" s="154" t="s">
        <v>196</v>
      </c>
      <c r="X2" s="149" t="s">
        <v>196</v>
      </c>
      <c r="Y2" s="154" t="s">
        <v>196</v>
      </c>
      <c r="Z2" s="149" t="s">
        <v>196</v>
      </c>
      <c r="AA2" s="154" t="s">
        <v>195</v>
      </c>
      <c r="AB2" s="149" t="s">
        <v>195</v>
      </c>
      <c r="AC2" s="154" t="s">
        <v>195</v>
      </c>
      <c r="AD2" s="149" t="s">
        <v>195</v>
      </c>
      <c r="AE2" s="154" t="s">
        <v>195</v>
      </c>
      <c r="AF2" s="149" t="s">
        <v>197</v>
      </c>
      <c r="AG2" s="154" t="s">
        <v>197</v>
      </c>
      <c r="AH2" s="149" t="s">
        <v>197</v>
      </c>
      <c r="AI2" s="154" t="s">
        <v>197</v>
      </c>
      <c r="AJ2" s="149" t="s">
        <v>197</v>
      </c>
      <c r="AK2" s="154" t="s">
        <v>196</v>
      </c>
      <c r="AL2" s="149" t="s">
        <v>196</v>
      </c>
      <c r="AM2" s="154" t="s">
        <v>196</v>
      </c>
      <c r="AN2" s="149" t="s">
        <v>196</v>
      </c>
      <c r="AO2" s="154" t="s">
        <v>196</v>
      </c>
      <c r="AP2" s="149" t="s">
        <v>197</v>
      </c>
      <c r="AQ2" s="154" t="s">
        <v>197</v>
      </c>
      <c r="AR2" s="149" t="s">
        <v>197</v>
      </c>
      <c r="AS2" s="154" t="s">
        <v>197</v>
      </c>
      <c r="AT2" s="149" t="s">
        <v>197</v>
      </c>
      <c r="AU2" s="154" t="s">
        <v>198</v>
      </c>
      <c r="AV2" s="149" t="s">
        <v>198</v>
      </c>
      <c r="AW2" s="154" t="s">
        <v>198</v>
      </c>
      <c r="AX2" s="149" t="s">
        <v>198</v>
      </c>
      <c r="AY2" s="154" t="s">
        <v>198</v>
      </c>
      <c r="AZ2" s="149" t="s">
        <v>199</v>
      </c>
      <c r="BA2" s="154" t="s">
        <v>199</v>
      </c>
      <c r="BB2" s="149" t="s">
        <v>199</v>
      </c>
      <c r="BC2" s="154" t="s">
        <v>199</v>
      </c>
      <c r="BD2" s="149" t="s">
        <v>199</v>
      </c>
      <c r="BE2" s="154" t="s">
        <v>198</v>
      </c>
      <c r="BF2" s="149" t="s">
        <v>198</v>
      </c>
      <c r="BG2" s="154" t="s">
        <v>198</v>
      </c>
      <c r="BH2" s="154" t="s">
        <v>198</v>
      </c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"/>
      <c r="BW2" s="1"/>
      <c r="BX2" s="1"/>
    </row>
    <row r="3" spans="1:77" ht="15.75" customHeight="1" x14ac:dyDescent="0.25">
      <c r="A3" s="177"/>
      <c r="B3" s="84" t="s">
        <v>137</v>
      </c>
      <c r="C3" s="150">
        <f ca="1">RANDBETWEEN(1,5)</f>
        <v>3</v>
      </c>
      <c r="D3" s="85">
        <f t="shared" ref="D3:BH3" ca="1" si="0">RANDBETWEEN(1,5)</f>
        <v>3</v>
      </c>
      <c r="E3" s="155">
        <f t="shared" ca="1" si="0"/>
        <v>2</v>
      </c>
      <c r="F3" s="85">
        <f t="shared" ca="1" si="0"/>
        <v>2</v>
      </c>
      <c r="G3" s="155">
        <f t="shared" ca="1" si="0"/>
        <v>1</v>
      </c>
      <c r="H3" s="85">
        <f t="shared" ca="1" si="0"/>
        <v>2</v>
      </c>
      <c r="I3" s="155">
        <f t="shared" ca="1" si="0"/>
        <v>4</v>
      </c>
      <c r="J3" s="85">
        <f t="shared" ca="1" si="0"/>
        <v>3</v>
      </c>
      <c r="K3" s="155">
        <f t="shared" ca="1" si="0"/>
        <v>2</v>
      </c>
      <c r="L3" s="85">
        <f t="shared" ca="1" si="0"/>
        <v>2</v>
      </c>
      <c r="M3" s="155">
        <f t="shared" ca="1" si="0"/>
        <v>4</v>
      </c>
      <c r="N3" s="85">
        <f t="shared" ca="1" si="0"/>
        <v>2</v>
      </c>
      <c r="O3" s="155">
        <f t="shared" ca="1" si="0"/>
        <v>3</v>
      </c>
      <c r="P3" s="85">
        <f t="shared" ca="1" si="0"/>
        <v>3</v>
      </c>
      <c r="Q3" s="155">
        <f t="shared" ca="1" si="0"/>
        <v>5</v>
      </c>
      <c r="R3" s="85">
        <f t="shared" ca="1" si="0"/>
        <v>4</v>
      </c>
      <c r="S3" s="155">
        <f t="shared" ca="1" si="0"/>
        <v>3</v>
      </c>
      <c r="T3" s="85">
        <f t="shared" ca="1" si="0"/>
        <v>2</v>
      </c>
      <c r="U3" s="155">
        <f t="shared" ca="1" si="0"/>
        <v>1</v>
      </c>
      <c r="V3" s="85">
        <f t="shared" ca="1" si="0"/>
        <v>3</v>
      </c>
      <c r="W3" s="155">
        <f t="shared" ca="1" si="0"/>
        <v>1</v>
      </c>
      <c r="X3" s="85">
        <f t="shared" ca="1" si="0"/>
        <v>2</v>
      </c>
      <c r="Y3" s="155">
        <f t="shared" ca="1" si="0"/>
        <v>3</v>
      </c>
      <c r="Z3" s="85">
        <f t="shared" ca="1" si="0"/>
        <v>1</v>
      </c>
      <c r="AA3" s="155">
        <f t="shared" ca="1" si="0"/>
        <v>5</v>
      </c>
      <c r="AB3" s="85">
        <f t="shared" ca="1" si="0"/>
        <v>2</v>
      </c>
      <c r="AC3" s="155">
        <f t="shared" ca="1" si="0"/>
        <v>5</v>
      </c>
      <c r="AD3" s="85">
        <f t="shared" ca="1" si="0"/>
        <v>5</v>
      </c>
      <c r="AE3" s="155">
        <f t="shared" ca="1" si="0"/>
        <v>1</v>
      </c>
      <c r="AF3" s="85">
        <f t="shared" ca="1" si="0"/>
        <v>5</v>
      </c>
      <c r="AG3" s="155">
        <f t="shared" ca="1" si="0"/>
        <v>3</v>
      </c>
      <c r="AH3" s="85">
        <f t="shared" ca="1" si="0"/>
        <v>5</v>
      </c>
      <c r="AI3" s="155">
        <f t="shared" ca="1" si="0"/>
        <v>1</v>
      </c>
      <c r="AJ3" s="85">
        <f t="shared" ca="1" si="0"/>
        <v>5</v>
      </c>
      <c r="AK3" s="155">
        <f t="shared" ca="1" si="0"/>
        <v>1</v>
      </c>
      <c r="AL3" s="85">
        <f t="shared" ca="1" si="0"/>
        <v>5</v>
      </c>
      <c r="AM3" s="155">
        <f t="shared" ca="1" si="0"/>
        <v>3</v>
      </c>
      <c r="AN3" s="85">
        <f t="shared" ca="1" si="0"/>
        <v>5</v>
      </c>
      <c r="AO3" s="155">
        <f t="shared" ca="1" si="0"/>
        <v>1</v>
      </c>
      <c r="AP3" s="85">
        <f t="shared" ca="1" si="0"/>
        <v>2</v>
      </c>
      <c r="AQ3" s="155">
        <f t="shared" ca="1" si="0"/>
        <v>1</v>
      </c>
      <c r="AR3" s="85">
        <f t="shared" ca="1" si="0"/>
        <v>5</v>
      </c>
      <c r="AS3" s="155">
        <f t="shared" ca="1" si="0"/>
        <v>5</v>
      </c>
      <c r="AT3" s="85">
        <f t="shared" ca="1" si="0"/>
        <v>2</v>
      </c>
      <c r="AU3" s="155">
        <f t="shared" ca="1" si="0"/>
        <v>4</v>
      </c>
      <c r="AV3" s="85">
        <f t="shared" ca="1" si="0"/>
        <v>5</v>
      </c>
      <c r="AW3" s="155">
        <f t="shared" ca="1" si="0"/>
        <v>1</v>
      </c>
      <c r="AX3" s="85">
        <f t="shared" ca="1" si="0"/>
        <v>1</v>
      </c>
      <c r="AY3" s="155">
        <f t="shared" ca="1" si="0"/>
        <v>2</v>
      </c>
      <c r="AZ3" s="85">
        <f t="shared" ca="1" si="0"/>
        <v>2</v>
      </c>
      <c r="BA3" s="155">
        <f t="shared" ca="1" si="0"/>
        <v>1</v>
      </c>
      <c r="BB3" s="85">
        <f t="shared" ca="1" si="0"/>
        <v>5</v>
      </c>
      <c r="BC3" s="155">
        <f t="shared" ca="1" si="0"/>
        <v>1</v>
      </c>
      <c r="BD3" s="85">
        <f t="shared" ca="1" si="0"/>
        <v>4</v>
      </c>
      <c r="BE3" s="155">
        <f t="shared" ca="1" si="0"/>
        <v>4</v>
      </c>
      <c r="BF3" s="85">
        <f t="shared" ca="1" si="0"/>
        <v>1</v>
      </c>
      <c r="BG3" s="155">
        <f t="shared" ca="1" si="0"/>
        <v>5</v>
      </c>
      <c r="BH3" s="155">
        <f t="shared" ca="1" si="0"/>
        <v>3</v>
      </c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1"/>
      <c r="BW3" s="1"/>
      <c r="BX3" s="1"/>
    </row>
    <row r="4" spans="1:77" ht="15" x14ac:dyDescent="0.25">
      <c r="A4" s="178">
        <v>2018</v>
      </c>
      <c r="B4" s="84" t="s">
        <v>138</v>
      </c>
      <c r="C4" s="150">
        <v>2</v>
      </c>
      <c r="D4" s="85">
        <v>1</v>
      </c>
      <c r="E4" s="155">
        <v>4</v>
      </c>
      <c r="F4" s="85">
        <v>3</v>
      </c>
      <c r="G4" s="155">
        <v>5</v>
      </c>
      <c r="H4" s="85">
        <v>3</v>
      </c>
      <c r="I4" s="155">
        <v>1</v>
      </c>
      <c r="J4" s="85">
        <v>2</v>
      </c>
      <c r="K4" s="155">
        <v>5</v>
      </c>
      <c r="L4" s="85">
        <v>4</v>
      </c>
      <c r="M4" s="155">
        <v>1</v>
      </c>
      <c r="N4" s="85">
        <v>4</v>
      </c>
      <c r="O4" s="155">
        <v>3</v>
      </c>
      <c r="P4" s="85">
        <v>5</v>
      </c>
      <c r="Q4" s="155">
        <v>2</v>
      </c>
      <c r="R4" s="85">
        <v>4</v>
      </c>
      <c r="S4" s="155">
        <v>3</v>
      </c>
      <c r="T4" s="85">
        <v>2</v>
      </c>
      <c r="U4" s="155">
        <v>1</v>
      </c>
      <c r="V4" s="85">
        <v>5</v>
      </c>
      <c r="W4" s="155">
        <v>5</v>
      </c>
      <c r="X4" s="85">
        <v>4</v>
      </c>
      <c r="Y4" s="155">
        <v>2</v>
      </c>
      <c r="Z4" s="85">
        <v>1</v>
      </c>
      <c r="AA4" s="155">
        <v>3</v>
      </c>
      <c r="AB4" s="85">
        <v>3</v>
      </c>
      <c r="AC4" s="155">
        <v>5</v>
      </c>
      <c r="AD4" s="85">
        <v>2</v>
      </c>
      <c r="AE4" s="155">
        <v>4</v>
      </c>
      <c r="AF4" s="85">
        <v>1</v>
      </c>
      <c r="AG4" s="155">
        <v>5</v>
      </c>
      <c r="AH4" s="85">
        <v>4</v>
      </c>
      <c r="AI4" s="155">
        <v>1</v>
      </c>
      <c r="AJ4" s="85">
        <v>3</v>
      </c>
      <c r="AK4" s="155">
        <v>2</v>
      </c>
      <c r="AL4" s="85">
        <v>2</v>
      </c>
      <c r="AM4" s="155">
        <v>3</v>
      </c>
      <c r="AN4" s="85">
        <v>1</v>
      </c>
      <c r="AO4" s="155">
        <v>4</v>
      </c>
      <c r="AP4" s="85">
        <v>5</v>
      </c>
      <c r="AQ4" s="155">
        <v>5</v>
      </c>
      <c r="AR4" s="85">
        <v>4</v>
      </c>
      <c r="AS4" s="155">
        <v>2</v>
      </c>
      <c r="AT4" s="85">
        <v>1</v>
      </c>
      <c r="AU4" s="155">
        <v>3</v>
      </c>
      <c r="AV4" s="85">
        <v>2</v>
      </c>
      <c r="AW4" s="155">
        <v>3</v>
      </c>
      <c r="AX4" s="85">
        <v>1</v>
      </c>
      <c r="AY4" s="155">
        <v>4</v>
      </c>
      <c r="AZ4" s="85">
        <v>5</v>
      </c>
      <c r="BA4" s="155">
        <v>1</v>
      </c>
      <c r="BB4" s="85">
        <v>2</v>
      </c>
      <c r="BC4" s="155">
        <v>5</v>
      </c>
      <c r="BD4" s="85">
        <v>3</v>
      </c>
      <c r="BE4" s="155">
        <v>4</v>
      </c>
      <c r="BF4" s="85">
        <v>3</v>
      </c>
      <c r="BG4" s="155">
        <v>5</v>
      </c>
      <c r="BH4" s="155">
        <v>4</v>
      </c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1"/>
      <c r="BW4" s="1"/>
      <c r="BX4" s="1"/>
    </row>
    <row r="5" spans="1:77" s="146" customFormat="1" ht="15" x14ac:dyDescent="0.25">
      <c r="A5" s="178"/>
      <c r="B5" s="158" t="s">
        <v>13</v>
      </c>
      <c r="C5" s="159">
        <v>43200</v>
      </c>
      <c r="D5" s="157">
        <v>43195</v>
      </c>
      <c r="E5" s="156">
        <v>43195</v>
      </c>
      <c r="F5" s="157">
        <v>43195</v>
      </c>
      <c r="G5" s="156">
        <v>43195</v>
      </c>
      <c r="H5" s="157">
        <v>43193</v>
      </c>
      <c r="I5" s="156">
        <v>43193</v>
      </c>
      <c r="J5" s="157">
        <v>43193</v>
      </c>
      <c r="K5" s="156">
        <v>43193</v>
      </c>
      <c r="L5" s="157">
        <v>43213</v>
      </c>
      <c r="M5" s="156">
        <v>43213</v>
      </c>
      <c r="N5" s="157">
        <v>43204</v>
      </c>
      <c r="O5" s="156">
        <v>43213</v>
      </c>
      <c r="P5" s="157">
        <v>43204</v>
      </c>
      <c r="Q5" s="156">
        <v>43213</v>
      </c>
      <c r="R5" s="157">
        <v>43204</v>
      </c>
      <c r="S5" s="156">
        <v>43213</v>
      </c>
      <c r="T5" s="157">
        <v>43204</v>
      </c>
      <c r="U5" s="156">
        <v>43213</v>
      </c>
      <c r="V5" s="157">
        <v>43213</v>
      </c>
      <c r="W5" s="156">
        <v>43213</v>
      </c>
      <c r="X5" s="157">
        <v>43213</v>
      </c>
      <c r="Y5" s="156">
        <v>43213</v>
      </c>
      <c r="Z5" s="157">
        <v>43213</v>
      </c>
      <c r="AA5" s="156">
        <v>43208</v>
      </c>
      <c r="AB5" s="157">
        <v>43208</v>
      </c>
      <c r="AC5" s="156">
        <v>43208</v>
      </c>
      <c r="AD5" s="157">
        <v>43208</v>
      </c>
      <c r="AE5" s="156">
        <v>43208</v>
      </c>
      <c r="AF5" s="157">
        <v>43160</v>
      </c>
      <c r="AG5" s="156">
        <v>43160</v>
      </c>
      <c r="AH5" s="157">
        <v>43160</v>
      </c>
      <c r="AI5" s="156">
        <v>43160</v>
      </c>
      <c r="AJ5" s="157">
        <v>43160</v>
      </c>
      <c r="AK5" s="156">
        <v>43203</v>
      </c>
      <c r="AL5" s="157">
        <v>43203</v>
      </c>
      <c r="AM5" s="156">
        <v>43203</v>
      </c>
      <c r="AN5" s="157">
        <v>43203</v>
      </c>
      <c r="AO5" s="156">
        <v>43203</v>
      </c>
      <c r="AP5" s="157">
        <v>43210</v>
      </c>
      <c r="AQ5" s="156">
        <v>43210</v>
      </c>
      <c r="AR5" s="157">
        <v>43210</v>
      </c>
      <c r="AS5" s="156">
        <v>43210</v>
      </c>
      <c r="AT5" s="157">
        <v>43201</v>
      </c>
      <c r="AU5" s="156">
        <v>43158</v>
      </c>
      <c r="AV5" s="157">
        <v>43158</v>
      </c>
      <c r="AW5" s="156">
        <v>43158</v>
      </c>
      <c r="AX5" s="157">
        <v>43160</v>
      </c>
      <c r="AY5" s="156">
        <v>43160</v>
      </c>
      <c r="AZ5" s="157">
        <v>43200</v>
      </c>
      <c r="BA5" s="156">
        <v>43200</v>
      </c>
      <c r="BB5" s="157">
        <v>43201</v>
      </c>
      <c r="BC5" s="156">
        <v>43201</v>
      </c>
      <c r="BD5" s="157">
        <v>43201</v>
      </c>
      <c r="BE5" s="156">
        <v>43195</v>
      </c>
      <c r="BF5" s="157">
        <v>43195</v>
      </c>
      <c r="BG5" s="156">
        <v>43209</v>
      </c>
      <c r="BH5" s="156">
        <v>43209</v>
      </c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60"/>
      <c r="BW5" s="160"/>
      <c r="BX5" s="160"/>
      <c r="BY5" s="160"/>
    </row>
    <row r="6" spans="1:77" ht="15" x14ac:dyDescent="0.25">
      <c r="B6" s="97">
        <v>1</v>
      </c>
      <c r="C6" s="4">
        <v>0</v>
      </c>
      <c r="D6" s="4">
        <v>0</v>
      </c>
      <c r="E6" s="152">
        <v>0</v>
      </c>
      <c r="F6" s="4">
        <v>0</v>
      </c>
      <c r="G6" s="152">
        <v>2</v>
      </c>
      <c r="H6" s="4">
        <v>0</v>
      </c>
      <c r="I6" s="152">
        <v>1</v>
      </c>
      <c r="J6" s="4">
        <v>0</v>
      </c>
      <c r="K6" s="152">
        <v>0</v>
      </c>
      <c r="L6" s="4">
        <v>0</v>
      </c>
      <c r="M6" s="152">
        <v>0</v>
      </c>
      <c r="N6" s="4">
        <v>0</v>
      </c>
      <c r="O6" s="152">
        <v>0</v>
      </c>
      <c r="P6" s="4">
        <v>0</v>
      </c>
      <c r="Q6" s="152">
        <v>0</v>
      </c>
      <c r="R6" s="4">
        <v>0</v>
      </c>
      <c r="S6" s="152">
        <v>0</v>
      </c>
      <c r="T6" s="4">
        <v>0</v>
      </c>
      <c r="U6" s="152">
        <v>0</v>
      </c>
      <c r="V6" s="4">
        <v>0</v>
      </c>
      <c r="W6" s="152">
        <v>0</v>
      </c>
      <c r="X6" s="4">
        <v>0</v>
      </c>
      <c r="Y6" s="152">
        <v>0</v>
      </c>
      <c r="Z6" s="4">
        <v>0</v>
      </c>
      <c r="AA6" s="152">
        <v>0</v>
      </c>
      <c r="AB6" s="4">
        <v>1</v>
      </c>
      <c r="AC6" s="152">
        <v>0</v>
      </c>
      <c r="AD6" s="4">
        <v>0</v>
      </c>
      <c r="AE6" s="152">
        <v>0</v>
      </c>
      <c r="AF6" s="4">
        <v>0</v>
      </c>
      <c r="AG6" s="152">
        <v>0</v>
      </c>
      <c r="AH6" s="4">
        <v>0</v>
      </c>
      <c r="AI6" s="152">
        <v>0</v>
      </c>
      <c r="AJ6" s="4">
        <v>0</v>
      </c>
      <c r="AK6" s="152">
        <v>0</v>
      </c>
      <c r="AL6" s="4">
        <v>0</v>
      </c>
      <c r="AM6" s="152">
        <v>0</v>
      </c>
      <c r="AN6" s="4">
        <v>0</v>
      </c>
      <c r="AO6" s="152">
        <v>1</v>
      </c>
      <c r="AP6" s="4">
        <v>0</v>
      </c>
      <c r="AQ6" s="152">
        <v>0</v>
      </c>
      <c r="AR6" s="4">
        <v>0</v>
      </c>
      <c r="AS6" s="152">
        <v>0</v>
      </c>
      <c r="AT6" s="4">
        <v>0</v>
      </c>
      <c r="AU6" s="152">
        <v>0</v>
      </c>
      <c r="AV6" s="4">
        <v>0</v>
      </c>
      <c r="AW6" s="152">
        <v>0</v>
      </c>
      <c r="AX6" s="4">
        <v>0</v>
      </c>
      <c r="AY6" s="152">
        <v>0</v>
      </c>
      <c r="AZ6" s="4">
        <v>0</v>
      </c>
      <c r="BA6" s="152">
        <v>0</v>
      </c>
      <c r="BB6" s="4">
        <v>0</v>
      </c>
      <c r="BC6" s="152">
        <v>0</v>
      </c>
      <c r="BD6" s="4">
        <v>0</v>
      </c>
      <c r="BE6" s="152">
        <v>0</v>
      </c>
      <c r="BF6" s="4">
        <v>0</v>
      </c>
      <c r="BG6" s="152">
        <v>0</v>
      </c>
      <c r="BH6" s="152">
        <v>0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1"/>
    </row>
    <row r="7" spans="1:77" ht="15" x14ac:dyDescent="0.25">
      <c r="B7" s="97">
        <f>1+B6</f>
        <v>2</v>
      </c>
      <c r="C7" s="4">
        <v>0</v>
      </c>
      <c r="D7" s="4">
        <v>0</v>
      </c>
      <c r="E7" s="4">
        <v>1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3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1"/>
    </row>
    <row r="8" spans="1:77" ht="15" x14ac:dyDescent="0.25">
      <c r="B8" s="97">
        <f t="shared" ref="B8:B61" si="1">1+B7</f>
        <v>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1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2</v>
      </c>
      <c r="AX8" s="4">
        <v>0</v>
      </c>
      <c r="AY8" s="4">
        <v>0</v>
      </c>
      <c r="AZ8" s="4">
        <v>1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1"/>
    </row>
    <row r="9" spans="1:77" ht="15" x14ac:dyDescent="0.25">
      <c r="B9" s="97">
        <f t="shared" si="1"/>
        <v>4</v>
      </c>
      <c r="C9" s="4">
        <v>0</v>
      </c>
      <c r="D9" s="4">
        <v>0</v>
      </c>
      <c r="E9" s="4">
        <v>0</v>
      </c>
      <c r="F9" s="4">
        <v>0</v>
      </c>
      <c r="G9" s="4">
        <v>6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1"/>
    </row>
    <row r="10" spans="1:77" ht="15" x14ac:dyDescent="0.25">
      <c r="B10" s="97">
        <f t="shared" si="1"/>
        <v>5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1"/>
    </row>
    <row r="11" spans="1:77" ht="15" x14ac:dyDescent="0.25">
      <c r="B11" s="97">
        <f t="shared" si="1"/>
        <v>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1"/>
    </row>
    <row r="12" spans="1:77" ht="15" x14ac:dyDescent="0.25">
      <c r="B12" s="97">
        <f t="shared" si="1"/>
        <v>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/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1"/>
    </row>
    <row r="13" spans="1:77" ht="15" x14ac:dyDescent="0.25">
      <c r="B13" s="97">
        <f t="shared" si="1"/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/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3</v>
      </c>
      <c r="BE13" s="4">
        <v>0</v>
      </c>
      <c r="BF13" s="4">
        <v>0</v>
      </c>
      <c r="BG13" s="4">
        <v>0</v>
      </c>
      <c r="BH13" s="4">
        <v>0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1"/>
    </row>
    <row r="14" spans="1:77" ht="15" x14ac:dyDescent="0.25">
      <c r="B14" s="97">
        <f t="shared" si="1"/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/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1"/>
    </row>
    <row r="15" spans="1:77" ht="15" x14ac:dyDescent="0.25">
      <c r="B15" s="97">
        <f t="shared" si="1"/>
        <v>10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1</v>
      </c>
      <c r="T15" s="4">
        <v>0</v>
      </c>
      <c r="U15" s="4">
        <v>0</v>
      </c>
      <c r="V15" s="4"/>
      <c r="W15" s="4">
        <v>0</v>
      </c>
      <c r="X15" s="4">
        <v>0</v>
      </c>
      <c r="Y15" s="4"/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1</v>
      </c>
      <c r="BE15" s="4">
        <v>1</v>
      </c>
      <c r="BF15" s="4">
        <v>0</v>
      </c>
      <c r="BG15" s="4">
        <v>0</v>
      </c>
      <c r="BH15" s="4">
        <v>0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1"/>
    </row>
    <row r="16" spans="1:77" ht="15" x14ac:dyDescent="0.25">
      <c r="B16" s="97">
        <f t="shared" si="1"/>
        <v>11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/>
      <c r="R16" s="4">
        <v>0</v>
      </c>
      <c r="S16" s="4">
        <v>1</v>
      </c>
      <c r="T16" s="4"/>
      <c r="U16" s="4">
        <v>0</v>
      </c>
      <c r="V16" s="4"/>
      <c r="W16" s="4"/>
      <c r="X16" s="4">
        <v>0</v>
      </c>
      <c r="Y16" s="4"/>
      <c r="Z16" s="4"/>
      <c r="AA16" s="4">
        <v>1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1"/>
    </row>
    <row r="17" spans="2:74" ht="15" x14ac:dyDescent="0.25">
      <c r="B17" s="97">
        <f t="shared" si="1"/>
        <v>12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/>
      <c r="Q17" s="4"/>
      <c r="R17" s="4">
        <v>0</v>
      </c>
      <c r="S17" s="4">
        <v>0</v>
      </c>
      <c r="T17" s="4"/>
      <c r="U17" s="4">
        <v>0</v>
      </c>
      <c r="V17" s="4"/>
      <c r="W17" s="4"/>
      <c r="X17" s="4"/>
      <c r="Y17" s="4"/>
      <c r="Z17" s="4"/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1"/>
    </row>
    <row r="18" spans="2:74" ht="15" x14ac:dyDescent="0.25">
      <c r="B18" s="97">
        <f t="shared" si="1"/>
        <v>13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1"/>
    </row>
    <row r="19" spans="2:74" ht="15" x14ac:dyDescent="0.25">
      <c r="B19" s="97">
        <f t="shared" si="1"/>
        <v>14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2</v>
      </c>
      <c r="BG19" s="4">
        <v>0</v>
      </c>
      <c r="BH19" s="4">
        <v>0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1"/>
    </row>
    <row r="20" spans="2:74" ht="15" x14ac:dyDescent="0.25">
      <c r="B20" s="97">
        <f t="shared" si="1"/>
        <v>15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/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3</v>
      </c>
      <c r="BG20" s="4">
        <v>0</v>
      </c>
      <c r="BH20" s="4">
        <v>0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1"/>
    </row>
    <row r="21" spans="2:74" ht="15" x14ac:dyDescent="0.25">
      <c r="B21" s="97">
        <f t="shared" si="1"/>
        <v>16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/>
      <c r="AM21" s="4"/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1"/>
    </row>
    <row r="22" spans="2:74" ht="15" x14ac:dyDescent="0.25">
      <c r="B22" s="97">
        <f t="shared" si="1"/>
        <v>17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/>
      <c r="AL22" s="4"/>
      <c r="AM22" s="4"/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1"/>
    </row>
    <row r="23" spans="2:74" ht="15" x14ac:dyDescent="0.25">
      <c r="B23" s="97">
        <f t="shared" si="1"/>
        <v>18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/>
      <c r="AL23" s="4"/>
      <c r="AM23" s="4"/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1"/>
    </row>
    <row r="24" spans="2:74" ht="15" x14ac:dyDescent="0.25">
      <c r="B24" s="97">
        <f t="shared" si="1"/>
        <v>19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/>
      <c r="AL24" s="4"/>
      <c r="AM24" s="4"/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"/>
    </row>
    <row r="25" spans="2:74" ht="15" x14ac:dyDescent="0.25">
      <c r="B25" s="97">
        <f t="shared" si="1"/>
        <v>20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/>
      <c r="AL25" s="4"/>
      <c r="AM25" s="4"/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/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1</v>
      </c>
      <c r="BH25" s="4">
        <v>0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1"/>
    </row>
    <row r="26" spans="2:74" ht="15" x14ac:dyDescent="0.25">
      <c r="B26" s="97">
        <f t="shared" si="1"/>
        <v>21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/>
      <c r="AL26" s="4"/>
      <c r="AM26" s="4"/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/>
      <c r="BB26" s="4">
        <v>0</v>
      </c>
      <c r="BC26" s="4">
        <v>0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"/>
    </row>
    <row r="27" spans="2:74" ht="15" x14ac:dyDescent="0.25">
      <c r="B27" s="97">
        <f t="shared" si="1"/>
        <v>22</v>
      </c>
      <c r="C27" s="4">
        <v>0</v>
      </c>
      <c r="D27" s="4">
        <v>0</v>
      </c>
      <c r="E27" s="4">
        <v>0</v>
      </c>
      <c r="F27" s="4">
        <v>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v>0</v>
      </c>
      <c r="AD27" s="4">
        <v>0</v>
      </c>
      <c r="AE27" s="4">
        <v>0</v>
      </c>
      <c r="AF27" s="4">
        <v>3</v>
      </c>
      <c r="AG27" s="4">
        <v>0</v>
      </c>
      <c r="AH27" s="4">
        <v>0</v>
      </c>
      <c r="AI27" s="4">
        <v>0</v>
      </c>
      <c r="AJ27" s="4">
        <v>0</v>
      </c>
      <c r="AK27" s="4"/>
      <c r="AL27" s="4"/>
      <c r="AM27" s="4"/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/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1</v>
      </c>
      <c r="BH27" s="4">
        <v>0</v>
      </c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1"/>
    </row>
    <row r="28" spans="2:74" ht="15" x14ac:dyDescent="0.25">
      <c r="B28" s="97">
        <f t="shared" si="1"/>
        <v>23</v>
      </c>
      <c r="C28" s="4"/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/>
      <c r="AL28" s="4"/>
      <c r="AM28" s="4"/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/>
      <c r="BB28" s="4">
        <v>0</v>
      </c>
      <c r="BC28" s="4">
        <v>0</v>
      </c>
      <c r="BD28" s="4">
        <v>0</v>
      </c>
      <c r="BE28" s="4">
        <v>0</v>
      </c>
      <c r="BF28" s="4"/>
      <c r="BG28" s="4">
        <v>0</v>
      </c>
      <c r="BH28" s="4">
        <v>0</v>
      </c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1"/>
    </row>
    <row r="29" spans="2:74" ht="15" x14ac:dyDescent="0.25">
      <c r="B29" s="97">
        <f t="shared" si="1"/>
        <v>24</v>
      </c>
      <c r="C29" s="4"/>
      <c r="D29" s="4">
        <v>0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1</v>
      </c>
      <c r="K29" s="4">
        <v>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/>
      <c r="AL29" s="4"/>
      <c r="AM29" s="4"/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/>
      <c r="BA29" s="4"/>
      <c r="BB29" s="4">
        <v>0</v>
      </c>
      <c r="BC29" s="4">
        <v>0</v>
      </c>
      <c r="BD29" s="4">
        <v>0</v>
      </c>
      <c r="BE29" s="4">
        <v>0</v>
      </c>
      <c r="BF29" s="4"/>
      <c r="BG29" s="4">
        <v>0</v>
      </c>
      <c r="BH29" s="4">
        <v>0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1"/>
    </row>
    <row r="30" spans="2:74" ht="15" x14ac:dyDescent="0.25">
      <c r="B30" s="97">
        <v>25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/>
      <c r="AL30" s="4"/>
      <c r="AM30" s="4"/>
      <c r="AN30" s="4">
        <v>0</v>
      </c>
      <c r="AO30" s="4">
        <v>3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/>
      <c r="BA30" s="4"/>
      <c r="BB30" s="4">
        <v>0</v>
      </c>
      <c r="BC30" s="4">
        <v>0</v>
      </c>
      <c r="BD30" s="4">
        <v>0</v>
      </c>
      <c r="BE30" s="4">
        <v>0</v>
      </c>
      <c r="BF30" s="4"/>
      <c r="BG30" s="4">
        <v>0</v>
      </c>
      <c r="BH30" s="4">
        <v>0</v>
      </c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1"/>
    </row>
    <row r="31" spans="2:74" ht="15" x14ac:dyDescent="0.25">
      <c r="B31" s="97">
        <v>26</v>
      </c>
      <c r="C31" s="4"/>
      <c r="D31" s="4">
        <v>0</v>
      </c>
      <c r="E31" s="4">
        <v>0</v>
      </c>
      <c r="F31" s="4"/>
      <c r="G31" s="4">
        <v>0</v>
      </c>
      <c r="H31" s="4"/>
      <c r="I31" s="4"/>
      <c r="J31" s="4">
        <v>0</v>
      </c>
      <c r="K31" s="4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/>
      <c r="AL31" s="4"/>
      <c r="AM31" s="4"/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>
        <v>0</v>
      </c>
      <c r="AY31" s="4">
        <v>0</v>
      </c>
      <c r="AZ31" s="4"/>
      <c r="BA31" s="4"/>
      <c r="BB31" s="4">
        <v>0</v>
      </c>
      <c r="BC31" s="4"/>
      <c r="BD31" s="4"/>
      <c r="BE31" s="4"/>
      <c r="BF31" s="4"/>
      <c r="BG31" s="4">
        <v>0</v>
      </c>
      <c r="BH31" s="4">
        <v>0</v>
      </c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1"/>
    </row>
    <row r="32" spans="2:74" ht="15" x14ac:dyDescent="0.25">
      <c r="B32" s="97">
        <v>27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v>0</v>
      </c>
      <c r="AD32" s="4"/>
      <c r="AE32" s="4">
        <v>0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>
        <v>0</v>
      </c>
      <c r="AQ32" s="4">
        <v>0</v>
      </c>
      <c r="AR32" s="4"/>
      <c r="AS32" s="4">
        <v>0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1"/>
    </row>
    <row r="33" spans="2:74" ht="15" x14ac:dyDescent="0.25">
      <c r="B33" s="97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>
        <v>0</v>
      </c>
      <c r="AD33" s="4"/>
      <c r="AE33" s="4">
        <v>0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1"/>
    </row>
    <row r="34" spans="2:74" ht="15" x14ac:dyDescent="0.25">
      <c r="B34" s="97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1"/>
    </row>
    <row r="35" spans="2:74" ht="15" x14ac:dyDescent="0.25">
      <c r="B35" s="97">
        <v>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"/>
    </row>
    <row r="36" spans="2:74" ht="15" x14ac:dyDescent="0.25">
      <c r="B36" s="97">
        <v>31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"/>
    </row>
    <row r="37" spans="2:74" ht="15" x14ac:dyDescent="0.25">
      <c r="B37" s="97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"/>
    </row>
    <row r="38" spans="2:74" ht="15" x14ac:dyDescent="0.25">
      <c r="B38" s="97">
        <v>33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"/>
    </row>
    <row r="39" spans="2:74" ht="15" x14ac:dyDescent="0.25">
      <c r="B39" s="97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"/>
    </row>
    <row r="40" spans="2:74" ht="15" x14ac:dyDescent="0.25">
      <c r="B40" s="97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"/>
    </row>
    <row r="41" spans="2:74" ht="15" x14ac:dyDescent="0.25">
      <c r="B41" s="97">
        <v>36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"/>
    </row>
    <row r="42" spans="2:74" ht="15" x14ac:dyDescent="0.25">
      <c r="B42" s="97">
        <v>37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"/>
    </row>
    <row r="43" spans="2:74" ht="15" x14ac:dyDescent="0.25">
      <c r="B43" s="97">
        <v>38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"/>
    </row>
    <row r="44" spans="2:74" ht="15" x14ac:dyDescent="0.25">
      <c r="B44" s="97">
        <f t="shared" si="1"/>
        <v>39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"/>
    </row>
    <row r="45" spans="2:74" ht="15" x14ac:dyDescent="0.25">
      <c r="B45" s="97">
        <f t="shared" si="1"/>
        <v>40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"/>
    </row>
    <row r="46" spans="2:74" ht="15" x14ac:dyDescent="0.25">
      <c r="B46" s="97">
        <f t="shared" si="1"/>
        <v>41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"/>
    </row>
    <row r="47" spans="2:74" ht="15" x14ac:dyDescent="0.25">
      <c r="B47" s="97">
        <f t="shared" si="1"/>
        <v>42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"/>
    </row>
    <row r="48" spans="2:74" ht="15" x14ac:dyDescent="0.25">
      <c r="B48" s="97">
        <v>43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"/>
    </row>
    <row r="49" spans="2:82" ht="15" x14ac:dyDescent="0.25">
      <c r="B49" s="97">
        <v>44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"/>
    </row>
    <row r="50" spans="2:82" ht="15" x14ac:dyDescent="0.25">
      <c r="B50" s="97">
        <v>45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"/>
    </row>
    <row r="51" spans="2:82" ht="15.75" x14ac:dyDescent="0.25">
      <c r="B51" s="97">
        <v>46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"/>
      <c r="BY51" s="121"/>
    </row>
    <row r="52" spans="2:82" ht="15.75" x14ac:dyDescent="0.25">
      <c r="B52" s="97">
        <v>47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"/>
      <c r="BZ52" s="122"/>
      <c r="CA52" s="122"/>
      <c r="CB52" s="122"/>
      <c r="CC52" s="122"/>
    </row>
    <row r="53" spans="2:82" ht="15.75" x14ac:dyDescent="0.25">
      <c r="B53" s="97">
        <v>48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"/>
      <c r="BZ53" s="123"/>
      <c r="CA53" s="121"/>
      <c r="CB53" s="121"/>
      <c r="CC53" s="121"/>
    </row>
    <row r="54" spans="2:82" ht="15.75" x14ac:dyDescent="0.25">
      <c r="B54" s="97">
        <v>49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"/>
      <c r="BZ54" s="123"/>
      <c r="CA54" s="121"/>
      <c r="CB54" s="121"/>
      <c r="CC54" s="121"/>
    </row>
    <row r="55" spans="2:82" ht="15.75" x14ac:dyDescent="0.25">
      <c r="B55" s="97">
        <f t="shared" si="1"/>
        <v>50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"/>
      <c r="CC55" s="121"/>
      <c r="CD55" s="124"/>
    </row>
    <row r="56" spans="2:82" ht="15" x14ac:dyDescent="0.25">
      <c r="B56" s="97">
        <f t="shared" si="1"/>
        <v>51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"/>
    </row>
    <row r="57" spans="2:82" ht="15" x14ac:dyDescent="0.25">
      <c r="B57" s="97">
        <f t="shared" si="1"/>
        <v>52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"/>
    </row>
    <row r="58" spans="2:82" ht="15" x14ac:dyDescent="0.25">
      <c r="B58" s="97">
        <f t="shared" si="1"/>
        <v>53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"/>
    </row>
    <row r="59" spans="2:82" ht="15.75" x14ac:dyDescent="0.25">
      <c r="B59" s="97">
        <f t="shared" si="1"/>
        <v>54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"/>
      <c r="BY59" s="28" t="s">
        <v>2</v>
      </c>
      <c r="BZ59" s="29"/>
      <c r="CA59" s="29"/>
      <c r="CB59" s="90"/>
      <c r="CC59" s="121"/>
      <c r="CD59" s="124"/>
    </row>
    <row r="60" spans="2:82" ht="15" x14ac:dyDescent="0.25">
      <c r="B60" s="97">
        <f t="shared" si="1"/>
        <v>55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"/>
      <c r="BY60" s="79" t="s">
        <v>3</v>
      </c>
      <c r="BZ60" s="80">
        <f>COUNT(C66:BU66)</f>
        <v>58</v>
      </c>
      <c r="CA60" s="29"/>
      <c r="CB60" s="91"/>
    </row>
    <row r="61" spans="2:82" ht="15.75" x14ac:dyDescent="0.25">
      <c r="B61" s="97">
        <f t="shared" si="1"/>
        <v>56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"/>
      <c r="BW61" s="1"/>
      <c r="BX61" s="1"/>
      <c r="BY61" s="79" t="s">
        <v>36</v>
      </c>
      <c r="BZ61" s="99">
        <f>BV67</f>
        <v>1205</v>
      </c>
      <c r="CA61" s="29"/>
      <c r="CB61" s="91"/>
      <c r="CC61" s="126"/>
      <c r="CD61" s="124"/>
    </row>
    <row r="62" spans="2:82" ht="15" x14ac:dyDescent="0.25">
      <c r="B62" s="97">
        <v>57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"/>
      <c r="BW62" s="1"/>
      <c r="BX62" s="1"/>
      <c r="BY62" s="79"/>
      <c r="BZ62" s="99"/>
      <c r="CA62" s="29"/>
      <c r="CB62" s="91"/>
    </row>
    <row r="63" spans="2:82" ht="15" x14ac:dyDescent="0.25">
      <c r="B63" s="97">
        <v>58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"/>
      <c r="BW63" s="1"/>
      <c r="BX63" s="1"/>
      <c r="BY63" s="79"/>
      <c r="BZ63" s="99"/>
      <c r="CA63" s="29"/>
      <c r="CB63" s="91"/>
    </row>
    <row r="64" spans="2:82" ht="15" x14ac:dyDescent="0.25">
      <c r="B64" s="97">
        <v>59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"/>
      <c r="BW64" s="1"/>
      <c r="BX64" s="1"/>
      <c r="BY64" s="79"/>
      <c r="BZ64" s="99"/>
      <c r="CA64" s="29"/>
      <c r="CB64" s="91"/>
    </row>
    <row r="65" spans="1:80" ht="15" x14ac:dyDescent="0.25">
      <c r="B65" s="97">
        <v>60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"/>
      <c r="BX65" s="5"/>
      <c r="BY65" s="79" t="s">
        <v>4</v>
      </c>
      <c r="BZ65" s="80">
        <f>SUM(C66:BU66)</f>
        <v>110</v>
      </c>
      <c r="CA65" s="29"/>
      <c r="CB65" s="91"/>
    </row>
    <row r="66" spans="1:80" ht="15" x14ac:dyDescent="0.25">
      <c r="B66" s="92" t="s">
        <v>0</v>
      </c>
      <c r="C66" s="82">
        <f t="shared" ref="C66:BH66" si="2">SUM(C6:C65)</f>
        <v>1</v>
      </c>
      <c r="D66" s="82">
        <f t="shared" si="2"/>
        <v>1</v>
      </c>
      <c r="E66" s="82">
        <f t="shared" si="2"/>
        <v>3</v>
      </c>
      <c r="F66" s="82">
        <f t="shared" si="2"/>
        <v>4</v>
      </c>
      <c r="G66" s="82">
        <f t="shared" si="2"/>
        <v>11</v>
      </c>
      <c r="H66" s="82">
        <f t="shared" si="2"/>
        <v>2</v>
      </c>
      <c r="I66" s="82">
        <f t="shared" si="2"/>
        <v>3</v>
      </c>
      <c r="J66" s="82">
        <f t="shared" si="2"/>
        <v>2</v>
      </c>
      <c r="K66" s="82">
        <f t="shared" si="2"/>
        <v>4</v>
      </c>
      <c r="L66" s="82">
        <f t="shared" si="2"/>
        <v>0</v>
      </c>
      <c r="M66" s="82">
        <f t="shared" si="2"/>
        <v>0</v>
      </c>
      <c r="N66" s="82">
        <f t="shared" si="2"/>
        <v>0</v>
      </c>
      <c r="O66" s="82">
        <f t="shared" si="2"/>
        <v>0</v>
      </c>
      <c r="P66" s="82">
        <f t="shared" si="2"/>
        <v>1</v>
      </c>
      <c r="Q66" s="82">
        <f t="shared" si="2"/>
        <v>0</v>
      </c>
      <c r="R66" s="82">
        <f t="shared" si="2"/>
        <v>2</v>
      </c>
      <c r="S66" s="82">
        <f t="shared" si="2"/>
        <v>2</v>
      </c>
      <c r="T66" s="82">
        <f t="shared" si="2"/>
        <v>0</v>
      </c>
      <c r="U66" s="82">
        <f t="shared" si="2"/>
        <v>2</v>
      </c>
      <c r="V66" s="82">
        <f t="shared" si="2"/>
        <v>0</v>
      </c>
      <c r="W66" s="82">
        <f t="shared" si="2"/>
        <v>0</v>
      </c>
      <c r="X66" s="82">
        <f t="shared" si="2"/>
        <v>0</v>
      </c>
      <c r="Y66" s="82">
        <f t="shared" si="2"/>
        <v>0</v>
      </c>
      <c r="Z66" s="82">
        <f t="shared" si="2"/>
        <v>1</v>
      </c>
      <c r="AA66" s="82">
        <f t="shared" si="2"/>
        <v>1</v>
      </c>
      <c r="AB66" s="82">
        <f t="shared" si="2"/>
        <v>2</v>
      </c>
      <c r="AC66" s="82">
        <f t="shared" ref="AC66:AH66" si="3">SUM(AC6:AC65)</f>
        <v>4</v>
      </c>
      <c r="AD66" s="82">
        <f t="shared" si="3"/>
        <v>2</v>
      </c>
      <c r="AE66" s="82">
        <f t="shared" si="3"/>
        <v>1</v>
      </c>
      <c r="AF66" s="82">
        <f t="shared" si="3"/>
        <v>5</v>
      </c>
      <c r="AG66" s="82">
        <f t="shared" si="3"/>
        <v>2</v>
      </c>
      <c r="AH66" s="82">
        <f t="shared" si="3"/>
        <v>2</v>
      </c>
      <c r="AI66" s="82">
        <f t="shared" si="2"/>
        <v>1</v>
      </c>
      <c r="AJ66" s="82">
        <f t="shared" si="2"/>
        <v>1</v>
      </c>
      <c r="AK66" s="82">
        <f t="shared" si="2"/>
        <v>0</v>
      </c>
      <c r="AL66" s="82">
        <f t="shared" si="2"/>
        <v>1</v>
      </c>
      <c r="AM66" s="82">
        <f t="shared" si="2"/>
        <v>4</v>
      </c>
      <c r="AN66" s="82">
        <f t="shared" si="2"/>
        <v>1</v>
      </c>
      <c r="AO66" s="82">
        <f t="shared" si="2"/>
        <v>9</v>
      </c>
      <c r="AP66" s="82">
        <f t="shared" si="2"/>
        <v>0</v>
      </c>
      <c r="AQ66" s="82">
        <f t="shared" si="2"/>
        <v>0</v>
      </c>
      <c r="AR66" s="82">
        <f t="shared" si="2"/>
        <v>0</v>
      </c>
      <c r="AS66" s="82">
        <f t="shared" si="2"/>
        <v>0</v>
      </c>
      <c r="AT66" s="82">
        <f t="shared" si="2"/>
        <v>0</v>
      </c>
      <c r="AU66" s="82">
        <f t="shared" si="2"/>
        <v>0</v>
      </c>
      <c r="AV66" s="82">
        <f t="shared" si="2"/>
        <v>2</v>
      </c>
      <c r="AW66" s="82">
        <f t="shared" si="2"/>
        <v>2</v>
      </c>
      <c r="AX66" s="82">
        <f t="shared" si="2"/>
        <v>0</v>
      </c>
      <c r="AY66" s="82">
        <f t="shared" si="2"/>
        <v>1</v>
      </c>
      <c r="AZ66" s="82">
        <f t="shared" si="2"/>
        <v>5</v>
      </c>
      <c r="BA66" s="82">
        <f t="shared" si="2"/>
        <v>2</v>
      </c>
      <c r="BB66" s="82">
        <f t="shared" si="2"/>
        <v>1</v>
      </c>
      <c r="BC66" s="82">
        <f t="shared" si="2"/>
        <v>0</v>
      </c>
      <c r="BD66" s="82">
        <f t="shared" si="2"/>
        <v>5</v>
      </c>
      <c r="BE66" s="82">
        <f t="shared" si="2"/>
        <v>1</v>
      </c>
      <c r="BF66" s="82">
        <f t="shared" si="2"/>
        <v>10</v>
      </c>
      <c r="BG66" s="82">
        <f t="shared" si="2"/>
        <v>3</v>
      </c>
      <c r="BH66" s="82">
        <f t="shared" si="2"/>
        <v>3</v>
      </c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7">
        <f>SUM(C66:BU66)</f>
        <v>110</v>
      </c>
      <c r="BW66" s="7"/>
      <c r="BX66" s="8"/>
      <c r="BY66" s="79" t="s">
        <v>5</v>
      </c>
      <c r="BZ66" s="81">
        <f>AVERAGE(C66:BU66)</f>
        <v>1.896551724137931</v>
      </c>
      <c r="CA66" s="29"/>
      <c r="CB66" s="91"/>
    </row>
    <row r="67" spans="1:80" ht="15" x14ac:dyDescent="0.25">
      <c r="B67" s="92" t="s">
        <v>31</v>
      </c>
      <c r="C67" s="82">
        <f>COUNT(C6:C65)</f>
        <v>22</v>
      </c>
      <c r="D67" s="82">
        <f t="shared" ref="D67:BH67" si="4">COUNT(D6:D65)</f>
        <v>26</v>
      </c>
      <c r="E67" s="82">
        <f t="shared" si="4"/>
        <v>26</v>
      </c>
      <c r="F67" s="82">
        <f t="shared" si="4"/>
        <v>25</v>
      </c>
      <c r="G67" s="82">
        <f t="shared" si="4"/>
        <v>26</v>
      </c>
      <c r="H67" s="82">
        <f t="shared" si="4"/>
        <v>25</v>
      </c>
      <c r="I67" s="82">
        <f t="shared" si="4"/>
        <v>25</v>
      </c>
      <c r="J67" s="82">
        <f t="shared" si="4"/>
        <v>26</v>
      </c>
      <c r="K67" s="82">
        <f t="shared" si="4"/>
        <v>26</v>
      </c>
      <c r="L67" s="82">
        <f t="shared" si="4"/>
        <v>12</v>
      </c>
      <c r="M67" s="82">
        <f t="shared" si="4"/>
        <v>12</v>
      </c>
      <c r="N67" s="82">
        <f t="shared" si="4"/>
        <v>12</v>
      </c>
      <c r="O67" s="82">
        <f t="shared" si="4"/>
        <v>12</v>
      </c>
      <c r="P67" s="82">
        <f t="shared" si="4"/>
        <v>11</v>
      </c>
      <c r="Q67" s="82">
        <f t="shared" si="4"/>
        <v>10</v>
      </c>
      <c r="R67" s="82">
        <f t="shared" si="4"/>
        <v>12</v>
      </c>
      <c r="S67" s="82">
        <f t="shared" si="4"/>
        <v>12</v>
      </c>
      <c r="T67" s="82">
        <f t="shared" si="4"/>
        <v>10</v>
      </c>
      <c r="U67" s="82">
        <f t="shared" si="4"/>
        <v>12</v>
      </c>
      <c r="V67" s="82">
        <f t="shared" si="4"/>
        <v>6</v>
      </c>
      <c r="W67" s="82">
        <f t="shared" si="4"/>
        <v>10</v>
      </c>
      <c r="X67" s="82">
        <f t="shared" si="4"/>
        <v>11</v>
      </c>
      <c r="Y67" s="82">
        <f t="shared" si="4"/>
        <v>9</v>
      </c>
      <c r="Z67" s="82">
        <f t="shared" si="4"/>
        <v>10</v>
      </c>
      <c r="AA67" s="82">
        <f t="shared" si="4"/>
        <v>13</v>
      </c>
      <c r="AB67" s="82">
        <f t="shared" si="4"/>
        <v>14</v>
      </c>
      <c r="AC67" s="82">
        <f t="shared" ref="AC67:AH67" si="5">COUNT(AC6:AC65)</f>
        <v>28</v>
      </c>
      <c r="AD67" s="82">
        <f t="shared" si="5"/>
        <v>26</v>
      </c>
      <c r="AE67" s="82">
        <f t="shared" si="5"/>
        <v>28</v>
      </c>
      <c r="AF67" s="82">
        <f t="shared" si="5"/>
        <v>26</v>
      </c>
      <c r="AG67" s="82">
        <f t="shared" si="5"/>
        <v>26</v>
      </c>
      <c r="AH67" s="82">
        <f t="shared" si="5"/>
        <v>26</v>
      </c>
      <c r="AI67" s="82">
        <f t="shared" si="4"/>
        <v>26</v>
      </c>
      <c r="AJ67" s="82">
        <f t="shared" si="4"/>
        <v>26</v>
      </c>
      <c r="AK67" s="82">
        <f t="shared" si="4"/>
        <v>16</v>
      </c>
      <c r="AL67" s="82">
        <f t="shared" si="4"/>
        <v>15</v>
      </c>
      <c r="AM67" s="82">
        <f t="shared" si="4"/>
        <v>14</v>
      </c>
      <c r="AN67" s="82">
        <f t="shared" si="4"/>
        <v>26</v>
      </c>
      <c r="AO67" s="82">
        <f t="shared" si="4"/>
        <v>26</v>
      </c>
      <c r="AP67" s="82">
        <f t="shared" si="4"/>
        <v>28</v>
      </c>
      <c r="AQ67" s="82">
        <f t="shared" si="4"/>
        <v>27</v>
      </c>
      <c r="AR67" s="82">
        <f t="shared" si="4"/>
        <v>26</v>
      </c>
      <c r="AS67" s="82">
        <f t="shared" si="4"/>
        <v>27</v>
      </c>
      <c r="AT67" s="82">
        <f t="shared" si="4"/>
        <v>26</v>
      </c>
      <c r="AU67" s="82">
        <f t="shared" si="4"/>
        <v>26</v>
      </c>
      <c r="AV67" s="82">
        <f t="shared" si="4"/>
        <v>26</v>
      </c>
      <c r="AW67" s="82">
        <f t="shared" si="4"/>
        <v>26</v>
      </c>
      <c r="AX67" s="82">
        <f t="shared" si="4"/>
        <v>26</v>
      </c>
      <c r="AY67" s="82">
        <f t="shared" si="4"/>
        <v>26</v>
      </c>
      <c r="AZ67" s="82">
        <f t="shared" si="4"/>
        <v>23</v>
      </c>
      <c r="BA67" s="82">
        <f t="shared" si="4"/>
        <v>19</v>
      </c>
      <c r="BB67" s="82">
        <f t="shared" si="4"/>
        <v>26</v>
      </c>
      <c r="BC67" s="82">
        <f t="shared" si="4"/>
        <v>25</v>
      </c>
      <c r="BD67" s="82">
        <f t="shared" si="4"/>
        <v>25</v>
      </c>
      <c r="BE67" s="82">
        <f t="shared" si="4"/>
        <v>25</v>
      </c>
      <c r="BF67" s="82">
        <f t="shared" si="4"/>
        <v>22</v>
      </c>
      <c r="BG67" s="82">
        <f t="shared" si="4"/>
        <v>26</v>
      </c>
      <c r="BH67" s="82">
        <f t="shared" si="4"/>
        <v>26</v>
      </c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7">
        <f>SUM(C67:BU67)</f>
        <v>1205</v>
      </c>
      <c r="BW67" s="7"/>
      <c r="BX67" s="8"/>
      <c r="BY67" s="79" t="s">
        <v>35</v>
      </c>
      <c r="BZ67" s="81">
        <f>AVERAGE(C70:BH70)</f>
        <v>1.9141525433820604E-2</v>
      </c>
      <c r="CA67" s="29"/>
      <c r="CB67" s="91"/>
    </row>
    <row r="68" spans="1:80" ht="17.25" x14ac:dyDescent="0.25">
      <c r="B68" s="92" t="s">
        <v>32</v>
      </c>
      <c r="C68" s="82">
        <f>C67*4.52</f>
        <v>99.44</v>
      </c>
      <c r="D68" s="82">
        <f t="shared" ref="D68:BH68" si="6">D67*4.52</f>
        <v>117.51999999999998</v>
      </c>
      <c r="E68" s="82">
        <f t="shared" si="6"/>
        <v>117.51999999999998</v>
      </c>
      <c r="F68" s="82">
        <f t="shared" si="6"/>
        <v>112.99999999999999</v>
      </c>
      <c r="G68" s="82">
        <f t="shared" si="6"/>
        <v>117.51999999999998</v>
      </c>
      <c r="H68" s="82">
        <f t="shared" si="6"/>
        <v>112.99999999999999</v>
      </c>
      <c r="I68" s="82">
        <f t="shared" si="6"/>
        <v>112.99999999999999</v>
      </c>
      <c r="J68" s="82">
        <f t="shared" si="6"/>
        <v>117.51999999999998</v>
      </c>
      <c r="K68" s="82">
        <f t="shared" si="6"/>
        <v>117.51999999999998</v>
      </c>
      <c r="L68" s="82">
        <f t="shared" si="6"/>
        <v>54.239999999999995</v>
      </c>
      <c r="M68" s="82">
        <f t="shared" si="6"/>
        <v>54.239999999999995</v>
      </c>
      <c r="N68" s="82">
        <f t="shared" si="6"/>
        <v>54.239999999999995</v>
      </c>
      <c r="O68" s="82">
        <f t="shared" si="6"/>
        <v>54.239999999999995</v>
      </c>
      <c r="P68" s="82">
        <f t="shared" si="6"/>
        <v>49.72</v>
      </c>
      <c r="Q68" s="82">
        <f t="shared" si="6"/>
        <v>45.199999999999996</v>
      </c>
      <c r="R68" s="82">
        <f t="shared" si="6"/>
        <v>54.239999999999995</v>
      </c>
      <c r="S68" s="82">
        <f t="shared" si="6"/>
        <v>54.239999999999995</v>
      </c>
      <c r="T68" s="82">
        <f t="shared" si="6"/>
        <v>45.199999999999996</v>
      </c>
      <c r="U68" s="82">
        <f t="shared" si="6"/>
        <v>54.239999999999995</v>
      </c>
      <c r="V68" s="82">
        <f t="shared" si="6"/>
        <v>27.119999999999997</v>
      </c>
      <c r="W68" s="82">
        <f t="shared" si="6"/>
        <v>45.199999999999996</v>
      </c>
      <c r="X68" s="82">
        <f t="shared" si="6"/>
        <v>49.72</v>
      </c>
      <c r="Y68" s="82">
        <f t="shared" si="6"/>
        <v>40.679999999999993</v>
      </c>
      <c r="Z68" s="82">
        <f t="shared" si="6"/>
        <v>45.199999999999996</v>
      </c>
      <c r="AA68" s="82">
        <f t="shared" si="6"/>
        <v>58.759999999999991</v>
      </c>
      <c r="AB68" s="82">
        <f t="shared" si="6"/>
        <v>63.279999999999994</v>
      </c>
      <c r="AC68" s="82">
        <f t="shared" si="6"/>
        <v>126.55999999999999</v>
      </c>
      <c r="AD68" s="82">
        <f t="shared" si="6"/>
        <v>117.51999999999998</v>
      </c>
      <c r="AE68" s="82">
        <f t="shared" si="6"/>
        <v>126.55999999999999</v>
      </c>
      <c r="AF68" s="82">
        <f t="shared" si="6"/>
        <v>117.51999999999998</v>
      </c>
      <c r="AG68" s="82">
        <f t="shared" si="6"/>
        <v>117.51999999999998</v>
      </c>
      <c r="AH68" s="82">
        <f t="shared" si="6"/>
        <v>117.51999999999998</v>
      </c>
      <c r="AI68" s="82">
        <f t="shared" si="6"/>
        <v>117.51999999999998</v>
      </c>
      <c r="AJ68" s="82">
        <f t="shared" si="6"/>
        <v>117.51999999999998</v>
      </c>
      <c r="AK68" s="82">
        <f t="shared" si="6"/>
        <v>72.319999999999993</v>
      </c>
      <c r="AL68" s="82">
        <f t="shared" si="6"/>
        <v>67.8</v>
      </c>
      <c r="AM68" s="82">
        <f t="shared" si="6"/>
        <v>63.279999999999994</v>
      </c>
      <c r="AN68" s="82">
        <f t="shared" si="6"/>
        <v>117.51999999999998</v>
      </c>
      <c r="AO68" s="82">
        <f t="shared" si="6"/>
        <v>117.51999999999998</v>
      </c>
      <c r="AP68" s="82">
        <f t="shared" si="6"/>
        <v>126.55999999999999</v>
      </c>
      <c r="AQ68" s="82">
        <f t="shared" si="6"/>
        <v>122.03999999999999</v>
      </c>
      <c r="AR68" s="82">
        <f t="shared" si="6"/>
        <v>117.51999999999998</v>
      </c>
      <c r="AS68" s="82">
        <f t="shared" si="6"/>
        <v>122.03999999999999</v>
      </c>
      <c r="AT68" s="82">
        <f t="shared" si="6"/>
        <v>117.51999999999998</v>
      </c>
      <c r="AU68" s="82">
        <f t="shared" si="6"/>
        <v>117.51999999999998</v>
      </c>
      <c r="AV68" s="82">
        <f t="shared" si="6"/>
        <v>117.51999999999998</v>
      </c>
      <c r="AW68" s="82">
        <f t="shared" si="6"/>
        <v>117.51999999999998</v>
      </c>
      <c r="AX68" s="82">
        <f t="shared" si="6"/>
        <v>117.51999999999998</v>
      </c>
      <c r="AY68" s="82">
        <f t="shared" si="6"/>
        <v>117.51999999999998</v>
      </c>
      <c r="AZ68" s="82">
        <f t="shared" si="6"/>
        <v>103.96</v>
      </c>
      <c r="BA68" s="82">
        <f t="shared" si="6"/>
        <v>85.88</v>
      </c>
      <c r="BB68" s="82">
        <f t="shared" si="6"/>
        <v>117.51999999999998</v>
      </c>
      <c r="BC68" s="82">
        <f t="shared" si="6"/>
        <v>112.99999999999999</v>
      </c>
      <c r="BD68" s="82">
        <f t="shared" si="6"/>
        <v>112.99999999999999</v>
      </c>
      <c r="BE68" s="82">
        <f t="shared" si="6"/>
        <v>112.99999999999999</v>
      </c>
      <c r="BF68" s="82">
        <f t="shared" si="6"/>
        <v>99.44</v>
      </c>
      <c r="BG68" s="82">
        <f t="shared" si="6"/>
        <v>117.51999999999998</v>
      </c>
      <c r="BH68" s="82">
        <f t="shared" si="6"/>
        <v>117.51999999999998</v>
      </c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>
        <f>BV67*4.52</f>
        <v>5446.5999999999995</v>
      </c>
      <c r="BW68" s="7"/>
      <c r="BX68" s="8"/>
      <c r="BY68" s="79" t="s">
        <v>6</v>
      </c>
      <c r="BZ68" s="100">
        <f>VAR(C70:BH70)</f>
        <v>5.155026361016331E-4</v>
      </c>
      <c r="CA68" s="29"/>
      <c r="CB68" s="91"/>
    </row>
    <row r="69" spans="1:80" ht="15" x14ac:dyDescent="0.25">
      <c r="B69" s="92" t="s">
        <v>37</v>
      </c>
      <c r="C69" s="82">
        <f>C68/1000000</f>
        <v>9.9439999999999997E-5</v>
      </c>
      <c r="D69" s="82">
        <f t="shared" ref="D69:BV69" si="7">D68/1000000</f>
        <v>1.1751999999999999E-4</v>
      </c>
      <c r="E69" s="82">
        <f t="shared" si="7"/>
        <v>1.1751999999999999E-4</v>
      </c>
      <c r="F69" s="82">
        <f t="shared" si="7"/>
        <v>1.1299999999999998E-4</v>
      </c>
      <c r="G69" s="82">
        <f t="shared" si="7"/>
        <v>1.1751999999999999E-4</v>
      </c>
      <c r="H69" s="82">
        <f t="shared" si="7"/>
        <v>1.1299999999999998E-4</v>
      </c>
      <c r="I69" s="82">
        <f t="shared" si="7"/>
        <v>1.1299999999999998E-4</v>
      </c>
      <c r="J69" s="82">
        <f t="shared" si="7"/>
        <v>1.1751999999999999E-4</v>
      </c>
      <c r="K69" s="82">
        <f t="shared" si="7"/>
        <v>1.1751999999999999E-4</v>
      </c>
      <c r="L69" s="82">
        <f t="shared" si="7"/>
        <v>5.4239999999999996E-5</v>
      </c>
      <c r="M69" s="82">
        <f t="shared" si="7"/>
        <v>5.4239999999999996E-5</v>
      </c>
      <c r="N69" s="82">
        <f t="shared" si="7"/>
        <v>5.4239999999999996E-5</v>
      </c>
      <c r="O69" s="82">
        <f t="shared" si="7"/>
        <v>5.4239999999999996E-5</v>
      </c>
      <c r="P69" s="82">
        <f t="shared" si="7"/>
        <v>4.9719999999999998E-5</v>
      </c>
      <c r="Q69" s="82">
        <f t="shared" si="7"/>
        <v>4.5199999999999994E-5</v>
      </c>
      <c r="R69" s="82">
        <f t="shared" si="7"/>
        <v>5.4239999999999996E-5</v>
      </c>
      <c r="S69" s="82">
        <f t="shared" si="7"/>
        <v>5.4239999999999996E-5</v>
      </c>
      <c r="T69" s="82">
        <f t="shared" si="7"/>
        <v>4.5199999999999994E-5</v>
      </c>
      <c r="U69" s="82">
        <f t="shared" si="7"/>
        <v>5.4239999999999996E-5</v>
      </c>
      <c r="V69" s="82">
        <f t="shared" si="7"/>
        <v>2.7119999999999998E-5</v>
      </c>
      <c r="W69" s="82">
        <f t="shared" si="7"/>
        <v>4.5199999999999994E-5</v>
      </c>
      <c r="X69" s="82">
        <f t="shared" si="7"/>
        <v>4.9719999999999998E-5</v>
      </c>
      <c r="Y69" s="82">
        <f t="shared" si="7"/>
        <v>4.067999999999999E-5</v>
      </c>
      <c r="Z69" s="82">
        <f t="shared" si="7"/>
        <v>4.5199999999999994E-5</v>
      </c>
      <c r="AA69" s="82">
        <f t="shared" si="7"/>
        <v>5.8759999999999993E-5</v>
      </c>
      <c r="AB69" s="82">
        <f t="shared" si="7"/>
        <v>6.327999999999999E-5</v>
      </c>
      <c r="AC69" s="82">
        <f t="shared" si="7"/>
        <v>1.2655999999999998E-4</v>
      </c>
      <c r="AD69" s="82">
        <f t="shared" si="7"/>
        <v>1.1751999999999999E-4</v>
      </c>
      <c r="AE69" s="82">
        <f t="shared" si="7"/>
        <v>1.2655999999999998E-4</v>
      </c>
      <c r="AF69" s="82">
        <f t="shared" si="7"/>
        <v>1.1751999999999999E-4</v>
      </c>
      <c r="AG69" s="82">
        <f t="shared" si="7"/>
        <v>1.1751999999999999E-4</v>
      </c>
      <c r="AH69" s="82">
        <f t="shared" si="7"/>
        <v>1.1751999999999999E-4</v>
      </c>
      <c r="AI69" s="82">
        <f t="shared" si="7"/>
        <v>1.1751999999999999E-4</v>
      </c>
      <c r="AJ69" s="82">
        <f t="shared" si="7"/>
        <v>1.1751999999999999E-4</v>
      </c>
      <c r="AK69" s="82">
        <f t="shared" si="7"/>
        <v>7.2319999999999999E-5</v>
      </c>
      <c r="AL69" s="82">
        <f t="shared" si="7"/>
        <v>6.7799999999999995E-5</v>
      </c>
      <c r="AM69" s="82">
        <f t="shared" si="7"/>
        <v>6.327999999999999E-5</v>
      </c>
      <c r="AN69" s="82">
        <f t="shared" si="7"/>
        <v>1.1751999999999999E-4</v>
      </c>
      <c r="AO69" s="82">
        <f t="shared" si="7"/>
        <v>1.1751999999999999E-4</v>
      </c>
      <c r="AP69" s="82">
        <f t="shared" si="7"/>
        <v>1.2655999999999998E-4</v>
      </c>
      <c r="AQ69" s="82">
        <f t="shared" si="7"/>
        <v>1.2203999999999999E-4</v>
      </c>
      <c r="AR69" s="82">
        <f t="shared" si="7"/>
        <v>1.1751999999999999E-4</v>
      </c>
      <c r="AS69" s="82">
        <f t="shared" si="7"/>
        <v>1.2203999999999999E-4</v>
      </c>
      <c r="AT69" s="82">
        <f t="shared" si="7"/>
        <v>1.1751999999999999E-4</v>
      </c>
      <c r="AU69" s="82">
        <f t="shared" si="7"/>
        <v>1.1751999999999999E-4</v>
      </c>
      <c r="AV69" s="82">
        <f t="shared" si="7"/>
        <v>1.1751999999999999E-4</v>
      </c>
      <c r="AW69" s="82">
        <f t="shared" si="7"/>
        <v>1.1751999999999999E-4</v>
      </c>
      <c r="AX69" s="82">
        <f t="shared" si="7"/>
        <v>1.1751999999999999E-4</v>
      </c>
      <c r="AY69" s="82">
        <f t="shared" si="7"/>
        <v>1.1751999999999999E-4</v>
      </c>
      <c r="AZ69" s="82">
        <f t="shared" si="7"/>
        <v>1.0395999999999999E-4</v>
      </c>
      <c r="BA69" s="82">
        <f t="shared" si="7"/>
        <v>8.5879999999999998E-5</v>
      </c>
      <c r="BB69" s="82">
        <f t="shared" si="7"/>
        <v>1.1751999999999999E-4</v>
      </c>
      <c r="BC69" s="82">
        <f t="shared" si="7"/>
        <v>1.1299999999999998E-4</v>
      </c>
      <c r="BD69" s="82">
        <f t="shared" si="7"/>
        <v>1.1299999999999998E-4</v>
      </c>
      <c r="BE69" s="82">
        <f t="shared" si="7"/>
        <v>1.1299999999999998E-4</v>
      </c>
      <c r="BF69" s="82">
        <f t="shared" si="7"/>
        <v>9.9439999999999997E-5</v>
      </c>
      <c r="BG69" s="82">
        <f t="shared" si="7"/>
        <v>1.1751999999999999E-4</v>
      </c>
      <c r="BH69" s="82">
        <f t="shared" si="7"/>
        <v>1.1751999999999999E-4</v>
      </c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>
        <f t="shared" si="7"/>
        <v>5.4465999999999994E-3</v>
      </c>
      <c r="BW69" s="7"/>
      <c r="BX69" s="8"/>
      <c r="BY69" s="79"/>
      <c r="BZ69" s="100"/>
      <c r="CA69" s="29"/>
      <c r="CB69" s="91"/>
    </row>
    <row r="70" spans="1:80" ht="15" x14ac:dyDescent="0.25">
      <c r="B70" s="92" t="s">
        <v>33</v>
      </c>
      <c r="C70" s="83">
        <f>C66/C68</f>
        <v>1.0056315366049879E-2</v>
      </c>
      <c r="D70" s="83">
        <f t="shared" ref="D70:BV70" si="8">D66/D68</f>
        <v>8.5091899251191292E-3</v>
      </c>
      <c r="E70" s="83">
        <f t="shared" si="8"/>
        <v>2.5527569775357389E-2</v>
      </c>
      <c r="F70" s="83">
        <f t="shared" si="8"/>
        <v>3.5398230088495582E-2</v>
      </c>
      <c r="G70" s="83">
        <f t="shared" si="8"/>
        <v>9.3601089176310423E-2</v>
      </c>
      <c r="H70" s="83">
        <f t="shared" si="8"/>
        <v>1.7699115044247791E-2</v>
      </c>
      <c r="I70" s="83">
        <f t="shared" si="8"/>
        <v>2.6548672566371685E-2</v>
      </c>
      <c r="J70" s="83">
        <f t="shared" si="8"/>
        <v>1.7018379850238258E-2</v>
      </c>
      <c r="K70" s="83">
        <f t="shared" si="8"/>
        <v>3.4036759700476517E-2</v>
      </c>
      <c r="L70" s="83">
        <f t="shared" si="8"/>
        <v>0</v>
      </c>
      <c r="M70" s="83">
        <f t="shared" si="8"/>
        <v>0</v>
      </c>
      <c r="N70" s="83">
        <f t="shared" si="8"/>
        <v>0</v>
      </c>
      <c r="O70" s="83">
        <f t="shared" si="8"/>
        <v>0</v>
      </c>
      <c r="P70" s="83">
        <f t="shared" si="8"/>
        <v>2.0112630732099759E-2</v>
      </c>
      <c r="Q70" s="83">
        <f t="shared" si="8"/>
        <v>0</v>
      </c>
      <c r="R70" s="83">
        <f t="shared" si="8"/>
        <v>3.6873156342182897E-2</v>
      </c>
      <c r="S70" s="83">
        <f t="shared" si="8"/>
        <v>3.6873156342182897E-2</v>
      </c>
      <c r="T70" s="83">
        <f t="shared" si="8"/>
        <v>0</v>
      </c>
      <c r="U70" s="83">
        <f t="shared" si="8"/>
        <v>3.6873156342182897E-2</v>
      </c>
      <c r="V70" s="83">
        <f t="shared" si="8"/>
        <v>0</v>
      </c>
      <c r="W70" s="83">
        <f t="shared" si="8"/>
        <v>0</v>
      </c>
      <c r="X70" s="83">
        <f t="shared" si="8"/>
        <v>0</v>
      </c>
      <c r="Y70" s="83">
        <f t="shared" si="8"/>
        <v>0</v>
      </c>
      <c r="Z70" s="83">
        <f t="shared" si="8"/>
        <v>2.2123893805309738E-2</v>
      </c>
      <c r="AA70" s="83">
        <f t="shared" si="8"/>
        <v>1.7018379850238258E-2</v>
      </c>
      <c r="AB70" s="83">
        <f t="shared" si="8"/>
        <v>3.160556257901391E-2</v>
      </c>
      <c r="AC70" s="83">
        <f t="shared" si="8"/>
        <v>3.160556257901391E-2</v>
      </c>
      <c r="AD70" s="83">
        <f t="shared" si="8"/>
        <v>1.7018379850238258E-2</v>
      </c>
      <c r="AE70" s="83">
        <f t="shared" si="8"/>
        <v>7.9013906447534775E-3</v>
      </c>
      <c r="AF70" s="83">
        <f t="shared" si="8"/>
        <v>4.2545949625595651E-2</v>
      </c>
      <c r="AG70" s="83">
        <f t="shared" si="8"/>
        <v>1.7018379850238258E-2</v>
      </c>
      <c r="AH70" s="83">
        <f t="shared" si="8"/>
        <v>1.7018379850238258E-2</v>
      </c>
      <c r="AI70" s="83">
        <f t="shared" si="8"/>
        <v>8.5091899251191292E-3</v>
      </c>
      <c r="AJ70" s="83">
        <f t="shared" si="8"/>
        <v>8.5091899251191292E-3</v>
      </c>
      <c r="AK70" s="83">
        <f t="shared" si="8"/>
        <v>0</v>
      </c>
      <c r="AL70" s="83">
        <f t="shared" si="8"/>
        <v>1.4749262536873156E-2</v>
      </c>
      <c r="AM70" s="83">
        <f t="shared" si="8"/>
        <v>6.321112515802782E-2</v>
      </c>
      <c r="AN70" s="83">
        <f t="shared" si="8"/>
        <v>8.5091899251191292E-3</v>
      </c>
      <c r="AO70" s="83">
        <f t="shared" si="8"/>
        <v>7.6582709326072168E-2</v>
      </c>
      <c r="AP70" s="83">
        <f t="shared" si="8"/>
        <v>0</v>
      </c>
      <c r="AQ70" s="83">
        <f t="shared" si="8"/>
        <v>0</v>
      </c>
      <c r="AR70" s="83">
        <f t="shared" si="8"/>
        <v>0</v>
      </c>
      <c r="AS70" s="83">
        <f t="shared" si="8"/>
        <v>0</v>
      </c>
      <c r="AT70" s="83">
        <f t="shared" si="8"/>
        <v>0</v>
      </c>
      <c r="AU70" s="83">
        <f t="shared" si="8"/>
        <v>0</v>
      </c>
      <c r="AV70" s="83">
        <f t="shared" si="8"/>
        <v>1.7018379850238258E-2</v>
      </c>
      <c r="AW70" s="83">
        <f t="shared" si="8"/>
        <v>1.7018379850238258E-2</v>
      </c>
      <c r="AX70" s="83">
        <f t="shared" si="8"/>
        <v>0</v>
      </c>
      <c r="AY70" s="83">
        <f t="shared" si="8"/>
        <v>8.5091899251191292E-3</v>
      </c>
      <c r="AZ70" s="83">
        <f t="shared" si="8"/>
        <v>4.809542131589073E-2</v>
      </c>
      <c r="BA70" s="83">
        <f t="shared" si="8"/>
        <v>2.3288309268747091E-2</v>
      </c>
      <c r="BB70" s="83">
        <f t="shared" si="8"/>
        <v>8.5091899251191292E-3</v>
      </c>
      <c r="BC70" s="83">
        <f t="shared" si="8"/>
        <v>0</v>
      </c>
      <c r="BD70" s="83">
        <f t="shared" si="8"/>
        <v>4.4247787610619475E-2</v>
      </c>
      <c r="BE70" s="83">
        <f t="shared" si="8"/>
        <v>8.8495575221238954E-3</v>
      </c>
      <c r="BF70" s="83">
        <f t="shared" si="8"/>
        <v>0.1005631536604988</v>
      </c>
      <c r="BG70" s="83">
        <f t="shared" si="8"/>
        <v>2.5527569775357389E-2</v>
      </c>
      <c r="BH70" s="83">
        <f t="shared" si="8"/>
        <v>2.5527569775357389E-2</v>
      </c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>
        <f t="shared" si="8"/>
        <v>2.0196085631403078E-2</v>
      </c>
      <c r="BW70" s="10"/>
      <c r="BX70" s="11"/>
      <c r="BY70" s="79" t="s">
        <v>7</v>
      </c>
      <c r="BZ70" s="101">
        <f>SQRT(((BZ67+BZ67^2/(BZ67^2/(BZ68-BZ67))))/BZ61)</f>
        <v>6.5406652376629826E-4</v>
      </c>
      <c r="CA70" s="29"/>
      <c r="CB70" s="91"/>
    </row>
    <row r="71" spans="1:80" ht="15" x14ac:dyDescent="0.25">
      <c r="A71" s="12"/>
      <c r="B71" s="92" t="s">
        <v>34</v>
      </c>
      <c r="C71" s="83">
        <f t="shared" ref="C71:BH71" si="9">DAYS360($A74,C5)</f>
        <v>133</v>
      </c>
      <c r="D71" s="83">
        <f t="shared" si="9"/>
        <v>128</v>
      </c>
      <c r="E71" s="83">
        <f t="shared" si="9"/>
        <v>128</v>
      </c>
      <c r="F71" s="83">
        <f t="shared" si="9"/>
        <v>128</v>
      </c>
      <c r="G71" s="83">
        <f t="shared" si="9"/>
        <v>128</v>
      </c>
      <c r="H71" s="83">
        <f t="shared" si="9"/>
        <v>126</v>
      </c>
      <c r="I71" s="83">
        <f t="shared" si="9"/>
        <v>126</v>
      </c>
      <c r="J71" s="83">
        <f t="shared" si="9"/>
        <v>126</v>
      </c>
      <c r="K71" s="83">
        <f t="shared" si="9"/>
        <v>126</v>
      </c>
      <c r="L71" s="83">
        <f t="shared" si="9"/>
        <v>146</v>
      </c>
      <c r="M71" s="83">
        <f t="shared" si="9"/>
        <v>146</v>
      </c>
      <c r="N71" s="83">
        <f t="shared" si="9"/>
        <v>137</v>
      </c>
      <c r="O71" s="83">
        <f t="shared" si="9"/>
        <v>146</v>
      </c>
      <c r="P71" s="83">
        <f t="shared" si="9"/>
        <v>137</v>
      </c>
      <c r="Q71" s="83">
        <f t="shared" si="9"/>
        <v>146</v>
      </c>
      <c r="R71" s="83">
        <f t="shared" si="9"/>
        <v>137</v>
      </c>
      <c r="S71" s="83">
        <f t="shared" si="9"/>
        <v>146</v>
      </c>
      <c r="T71" s="83">
        <f t="shared" si="9"/>
        <v>137</v>
      </c>
      <c r="U71" s="83">
        <f t="shared" si="9"/>
        <v>146</v>
      </c>
      <c r="V71" s="83">
        <f t="shared" si="9"/>
        <v>146</v>
      </c>
      <c r="W71" s="83">
        <f t="shared" si="9"/>
        <v>146</v>
      </c>
      <c r="X71" s="83">
        <f t="shared" si="9"/>
        <v>146</v>
      </c>
      <c r="Y71" s="83">
        <f t="shared" si="9"/>
        <v>146</v>
      </c>
      <c r="Z71" s="83">
        <f t="shared" si="9"/>
        <v>146</v>
      </c>
      <c r="AA71" s="83">
        <f t="shared" si="9"/>
        <v>141</v>
      </c>
      <c r="AB71" s="83">
        <f t="shared" si="9"/>
        <v>141</v>
      </c>
      <c r="AC71" s="83">
        <f t="shared" si="9"/>
        <v>141</v>
      </c>
      <c r="AD71" s="83">
        <f t="shared" si="9"/>
        <v>141</v>
      </c>
      <c r="AE71" s="83">
        <f t="shared" si="9"/>
        <v>141</v>
      </c>
      <c r="AF71" s="83">
        <f t="shared" si="9"/>
        <v>94</v>
      </c>
      <c r="AG71" s="83">
        <f t="shared" si="9"/>
        <v>94</v>
      </c>
      <c r="AH71" s="83">
        <f t="shared" si="9"/>
        <v>94</v>
      </c>
      <c r="AI71" s="83">
        <f t="shared" si="9"/>
        <v>94</v>
      </c>
      <c r="AJ71" s="83">
        <f t="shared" si="9"/>
        <v>94</v>
      </c>
      <c r="AK71" s="83">
        <f t="shared" si="9"/>
        <v>136</v>
      </c>
      <c r="AL71" s="83">
        <f t="shared" si="9"/>
        <v>136</v>
      </c>
      <c r="AM71" s="83">
        <f t="shared" si="9"/>
        <v>136</v>
      </c>
      <c r="AN71" s="83">
        <f t="shared" si="9"/>
        <v>136</v>
      </c>
      <c r="AO71" s="83">
        <f t="shared" si="9"/>
        <v>136</v>
      </c>
      <c r="AP71" s="83">
        <f t="shared" si="9"/>
        <v>143</v>
      </c>
      <c r="AQ71" s="83">
        <f t="shared" si="9"/>
        <v>143</v>
      </c>
      <c r="AR71" s="83">
        <f t="shared" si="9"/>
        <v>143</v>
      </c>
      <c r="AS71" s="83">
        <f t="shared" si="9"/>
        <v>143</v>
      </c>
      <c r="AT71" s="83">
        <f t="shared" si="9"/>
        <v>134</v>
      </c>
      <c r="AU71" s="83">
        <f t="shared" si="9"/>
        <v>90</v>
      </c>
      <c r="AV71" s="83">
        <f t="shared" si="9"/>
        <v>90</v>
      </c>
      <c r="AW71" s="83">
        <f t="shared" si="9"/>
        <v>90</v>
      </c>
      <c r="AX71" s="83">
        <f t="shared" si="9"/>
        <v>94</v>
      </c>
      <c r="AY71" s="83">
        <f t="shared" si="9"/>
        <v>94</v>
      </c>
      <c r="AZ71" s="83">
        <f t="shared" si="9"/>
        <v>133</v>
      </c>
      <c r="BA71" s="83">
        <f t="shared" si="9"/>
        <v>133</v>
      </c>
      <c r="BB71" s="83">
        <f t="shared" si="9"/>
        <v>134</v>
      </c>
      <c r="BC71" s="83">
        <f t="shared" si="9"/>
        <v>134</v>
      </c>
      <c r="BD71" s="83">
        <f t="shared" si="9"/>
        <v>134</v>
      </c>
      <c r="BE71" s="83">
        <f t="shared" si="9"/>
        <v>128</v>
      </c>
      <c r="BF71" s="83">
        <f t="shared" si="9"/>
        <v>128</v>
      </c>
      <c r="BG71" s="83">
        <f t="shared" si="9"/>
        <v>142</v>
      </c>
      <c r="BH71" s="83">
        <f t="shared" si="9"/>
        <v>142</v>
      </c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125">
        <f>AVERAGE(C71:BU71)</f>
        <v>129.82758620689654</v>
      </c>
      <c r="BW71" s="141"/>
      <c r="BX71" s="141"/>
      <c r="CB71" s="91"/>
    </row>
    <row r="72" spans="1:80" ht="15.75" thickBot="1" x14ac:dyDescent="0.3">
      <c r="B72" s="6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6"/>
      <c r="BZ72" s="42"/>
      <c r="CA72" s="27"/>
      <c r="CB72" s="32"/>
    </row>
    <row r="73" spans="1:80" ht="29.25" thickTop="1" thickBot="1" x14ac:dyDescent="0.4">
      <c r="A73" s="14" t="s">
        <v>12</v>
      </c>
      <c r="C73" s="93" t="s">
        <v>50</v>
      </c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X73" s="17"/>
      <c r="BY73" s="43" t="s">
        <v>14</v>
      </c>
      <c r="BZ73" s="44"/>
      <c r="CA73" s="45"/>
      <c r="CB73" s="46"/>
    </row>
    <row r="74" spans="1:80" ht="19.5" thickTop="1" x14ac:dyDescent="0.3">
      <c r="A74" s="86">
        <v>43066</v>
      </c>
      <c r="B74" s="102" t="s">
        <v>51</v>
      </c>
      <c r="C74" s="176" t="str">
        <f>D1 &amp; "," &amp; I1 &amp; "," &amp; M1 &amp; "," &amp; U1 &amp; "," &amp; Z1 &amp; "," &amp; AF1 &amp; "," &amp; AI1 &amp; "," &amp; AN1 &amp; "," &amp; AT1 &amp; "," &amp; AX1 &amp; "," &amp; BA1</f>
        <v>7C,10c,12aS,12eS,15eS,21A,21d,23d,29a,33d,35b</v>
      </c>
      <c r="D74" s="176"/>
      <c r="E74" s="176" t="str">
        <f>C1 &amp; "," &amp; J1 &amp; "," &amp; Q1 &amp; "," &amp; T1 &amp; "," &amp; Y1 &amp; "," &amp; AD1 &amp; "," &amp; AK1 &amp; "," &amp; AL1 &amp; "," &amp; AS1 &amp; "," &amp; AV1 &amp; "," &amp; BB1</f>
        <v>7b,10d,12cS,12eN,15dS,18d,23a,23b,26e,33b,35c</v>
      </c>
      <c r="F74" s="176"/>
      <c r="G74" s="176" t="str">
        <f>F1 &amp; "," &amp; H1 &amp; "," &amp; O1 &amp; "," &amp; S1 &amp; "," &amp; AA1 &amp; "," &amp; AB1 &amp; "," &amp; AJ1 &amp; "," &amp; AM1 &amp; "," &amp; AU1 &amp; "," &amp; AW1 &amp; "," &amp; BD1 &amp; "," &amp; BF1 &amp; "," &amp; BK1 &amp; "," &amp; BM1 &amp; "," &amp; BQ1</f>
        <v>7e,10b,12bS,12dS,18a,18b,21e,23c,33a,33c,35e,37b,,,</v>
      </c>
      <c r="H74" s="176"/>
      <c r="I74" s="176" t="str">
        <f>E1 &amp; "," &amp; L1 &amp; "," &amp; N1 &amp; "," &amp; R1 &amp; "," &amp; X1 &amp; "," &amp; AE1 &amp; "," &amp; AH1 &amp; "," &amp; AO1 &amp; "," &amp; AR1 &amp; "," &amp; AY1 &amp; "," &amp; BE1 &amp; "," &amp; BH1 &amp; "," &amp; BL1 &amp; "," &amp; BS1</f>
        <v>7d,12aN,12bN,12dN,15cS,18e,21c,23e,26d,33e,37a,37d,,</v>
      </c>
      <c r="J74" s="176"/>
      <c r="K74" s="176" t="str">
        <f>G1 &amp; "," &amp; K1 &amp; "," &amp; P1 &amp; "," &amp; V1 &amp; "," &amp; W1 &amp; "," &amp; AC1 &amp; "," &amp; AG1 &amp; "," &amp; AP1 &amp; "," &amp; AQ1 &amp; "," &amp; AZ1 &amp; "," &amp; BC1 &amp; "," &amp; BG1 &amp; "," &amp; BO1 &amp; "," &amp; BR1</f>
        <v>10a,10e,12cN,15aS,15bS,18c,21b,26b,26c,35a,35d,37c,,</v>
      </c>
      <c r="L74" s="176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BX74" s="21"/>
      <c r="BY74" s="52" t="s">
        <v>8</v>
      </c>
      <c r="BZ74" s="53" t="str">
        <f>+A1</f>
        <v>Blue Hills</v>
      </c>
      <c r="CA74" s="54"/>
      <c r="CB74" s="55"/>
    </row>
    <row r="75" spans="1:80" ht="18.75" x14ac:dyDescent="0.3">
      <c r="A75" s="86"/>
      <c r="B75" s="104" t="s">
        <v>39</v>
      </c>
      <c r="C75" s="176">
        <f>D69+I69+M69+U69+Z69+AF69+AI69+AN69 + AT69 + AX69 + BA69 + BI69 + BN69 + BU69</f>
        <v>1.0576799999999999E-3</v>
      </c>
      <c r="D75" s="176"/>
      <c r="E75" s="176">
        <f>C69+J69+Q69+T69+Y69+AD69+AK69+AL69 + AS69 + AV69 + BB69 + BJ69 + BP69 + BT69</f>
        <v>9.627599999999999E-4</v>
      </c>
      <c r="F75" s="176"/>
      <c r="G75" s="176">
        <f>F69+H69+O69+S69+AA69+AB69+AJ69+AM69 + AU69 + AW69 + BD69 + BF69</f>
        <v>1.0847999999999997E-3</v>
      </c>
      <c r="H75" s="176"/>
      <c r="I75" s="176">
        <f>E69+L69+N69+R69+X69+AE69+AH69+AO69 + AR69 + AY69 + BE69 + BH69</f>
        <v>1.15712E-3</v>
      </c>
      <c r="J75" s="176"/>
      <c r="K75" s="176">
        <f>G69+K69+P69+V69+W69+AC69+AG69+AP69 + AQ69 + AZ69 + BC69 + BG69 + BO69 + BR69</f>
        <v>1.1842399999999998E-3</v>
      </c>
      <c r="L75" s="176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BX75" s="21"/>
      <c r="BY75" s="52" t="s">
        <v>9</v>
      </c>
      <c r="BZ75" s="52">
        <f>A4</f>
        <v>2018</v>
      </c>
      <c r="CA75" s="61"/>
      <c r="CB75" s="55"/>
    </row>
    <row r="76" spans="1:80" ht="18.75" x14ac:dyDescent="0.3">
      <c r="A76" s="98" t="s">
        <v>11</v>
      </c>
      <c r="B76" s="104" t="s">
        <v>38</v>
      </c>
      <c r="C76" s="174">
        <f>D66 + I66 + M66 + U66 + Z66 + AF66 + AI66 + AN66 + AT66 + AX66 + BA66</f>
        <v>16</v>
      </c>
      <c r="D76" s="174"/>
      <c r="E76" s="174">
        <f>C66 + J66 + Q66 + T66 + Y66 + AD66 + AK66 + AL66 + AS66 + AV66 + BB66 + BJ66 + BP66 + BT66</f>
        <v>9</v>
      </c>
      <c r="F76" s="174"/>
      <c r="G76" s="174">
        <f>F66 + H66 + O66 + S66 + AA66 + AB66 + AJ66 + AM66 + AU66 + AW66 + BD66 + BF66 + BK66 + BM66 + BQ66</f>
        <v>33</v>
      </c>
      <c r="H76" s="174"/>
      <c r="I76" s="174">
        <f>E66 + L66 + N66 + R66 + X66 + AE66 + AH66 + AO66 + AR66 + AY66 + BE66 + BH66 + BL66 + BS66</f>
        <v>22</v>
      </c>
      <c r="J76" s="174"/>
      <c r="K76" s="174">
        <f>G66 + K66 + P66 + V66 + W66 + AC66 + AG66 + AP66 + AQ66 + AZ66 + BC66 + BG66 + BO66 + BR66</f>
        <v>30</v>
      </c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BX76" s="21"/>
      <c r="BY76" s="62" t="s">
        <v>10</v>
      </c>
      <c r="BZ76" s="109">
        <f>BZ60</f>
        <v>58</v>
      </c>
      <c r="CA76" s="61"/>
      <c r="CB76" s="55"/>
    </row>
    <row r="77" spans="1:80" ht="18.75" x14ac:dyDescent="0.3">
      <c r="A77" s="98"/>
      <c r="B77" s="104" t="s">
        <v>40</v>
      </c>
      <c r="C77" s="179">
        <f>AVERAGE(D71,I71,M71,U71,Z71, AF71, AI71, AN71, AT71, AX71, BA71)</f>
        <v>125.18181818181819</v>
      </c>
      <c r="D77" s="179"/>
      <c r="E77" s="179">
        <f>AVERAGE(C71,J71,Q71,T71,Y71, AD71, AK71, AL71, AS71, AV71, BB71)</f>
        <v>133.45454545454547</v>
      </c>
      <c r="F77" s="179"/>
      <c r="G77" s="179">
        <f>AVERAGE(F71,H71,O71,S71,AA71, AB71, AJ71, AM71, AU71, AW71, BD71, BF71)</f>
        <v>125</v>
      </c>
      <c r="H77" s="179"/>
      <c r="I77" s="179">
        <f>AVERAGE(E71,L71,N71,R71,X71, AE71, AH71, AO71, AR71, AY71, BE71, BH71)</f>
        <v>131</v>
      </c>
      <c r="J77" s="179"/>
      <c r="K77" s="179">
        <f>AVERAGE(G71,K71,P71,V71,W71, AC71, AG71, AP71, AQ71, AZ71, BC71, BG71)</f>
        <v>134.41666666666666</v>
      </c>
      <c r="L77" s="179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BX77" s="21"/>
      <c r="BY77" s="52" t="s">
        <v>30</v>
      </c>
      <c r="BZ77" s="105">
        <f>BV67</f>
        <v>1205</v>
      </c>
      <c r="CA77" s="61"/>
      <c r="CB77" s="55"/>
    </row>
    <row r="78" spans="1:80" ht="18.75" x14ac:dyDescent="0.3">
      <c r="A78" s="98"/>
      <c r="B78" s="94" t="s">
        <v>1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BV78" s="16" t="s">
        <v>16</v>
      </c>
      <c r="BW78" s="16" t="s">
        <v>15</v>
      </c>
      <c r="BX78" s="21"/>
      <c r="BY78" s="52" t="s">
        <v>42</v>
      </c>
      <c r="BZ78" s="105">
        <f>BV66</f>
        <v>110</v>
      </c>
      <c r="CA78" s="61"/>
      <c r="CB78" s="55"/>
    </row>
    <row r="79" spans="1:80" ht="18.75" x14ac:dyDescent="0.3">
      <c r="A79" s="22"/>
      <c r="B79" s="19">
        <v>10.9</v>
      </c>
      <c r="C79" s="171">
        <f>C76/(B79*C75*C77)</f>
        <v>11.086588735879806</v>
      </c>
      <c r="D79" s="172"/>
      <c r="E79" s="171">
        <f>E76/(B79*E75*E77)</f>
        <v>6.4263533718705368</v>
      </c>
      <c r="F79" s="172"/>
      <c r="G79" s="171">
        <f>G76/(B79*G75*G77)</f>
        <v>22.326865308110744</v>
      </c>
      <c r="H79" s="172"/>
      <c r="I79" s="171">
        <f>I76/(B79*I75*I77)</f>
        <v>13.315162993863753</v>
      </c>
      <c r="J79" s="172"/>
      <c r="K79" s="171">
        <f>K76/($B$79*K75*K77)</f>
        <v>17.290275341183619</v>
      </c>
      <c r="L79" s="172"/>
      <c r="M79" s="171"/>
      <c r="N79" s="172"/>
      <c r="O79" s="171"/>
      <c r="P79" s="172"/>
      <c r="Q79" s="171"/>
      <c r="R79" s="172"/>
      <c r="S79" s="171"/>
      <c r="T79" s="172"/>
      <c r="U79" s="171"/>
      <c r="V79" s="172"/>
      <c r="W79" s="171"/>
      <c r="X79" s="172"/>
      <c r="Y79" s="171"/>
      <c r="Z79" s="172"/>
      <c r="AA79" s="171"/>
      <c r="AB79" s="172"/>
      <c r="AC79" s="171"/>
      <c r="AD79" s="172"/>
      <c r="AE79" s="171"/>
      <c r="AF79" s="172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20">
        <f>AVERAGE(C79:AF79)</f>
        <v>14.08904915018169</v>
      </c>
      <c r="BW79" s="20">
        <f>STDEV(C79:AE79)</f>
        <v>6.0506206105475595</v>
      </c>
      <c r="BX79" s="21"/>
      <c r="BY79" s="52" t="s">
        <v>120</v>
      </c>
      <c r="BZ79" s="105">
        <v>15.1</v>
      </c>
      <c r="CA79" s="61" t="s">
        <v>48</v>
      </c>
      <c r="CB79" s="55"/>
    </row>
    <row r="80" spans="1:80" ht="18.75" x14ac:dyDescent="0.3">
      <c r="A80" s="26"/>
      <c r="B80" s="24">
        <v>19.8</v>
      </c>
      <c r="C80" s="171">
        <f>C76/(B80*C77*C75)</f>
        <v>6.1032230919742352</v>
      </c>
      <c r="D80" s="172"/>
      <c r="E80" s="171">
        <f>E76/(B80*E75*E77)</f>
        <v>3.5377399875448914</v>
      </c>
      <c r="F80" s="172"/>
      <c r="G80" s="171">
        <f>G76/(B80*G75*G77)</f>
        <v>12.291052114060967</v>
      </c>
      <c r="H80" s="172"/>
      <c r="I80" s="171">
        <f>I76/(B80*I75*I77)</f>
        <v>7.3300644764199445</v>
      </c>
      <c r="J80" s="172"/>
      <c r="K80" s="171">
        <f>K76/($B$80*K75*K77)</f>
        <v>9.5183838999445172</v>
      </c>
      <c r="L80" s="172"/>
      <c r="M80" s="171"/>
      <c r="N80" s="172"/>
      <c r="O80" s="171"/>
      <c r="P80" s="172"/>
      <c r="Q80" s="171"/>
      <c r="R80" s="172"/>
      <c r="S80" s="171"/>
      <c r="T80" s="172"/>
      <c r="U80" s="171"/>
      <c r="V80" s="172"/>
      <c r="W80" s="171"/>
      <c r="X80" s="172"/>
      <c r="Y80" s="171"/>
      <c r="Z80" s="172"/>
      <c r="AA80" s="171"/>
      <c r="AB80" s="172"/>
      <c r="AC80" s="171"/>
      <c r="AD80" s="172"/>
      <c r="AE80" s="171"/>
      <c r="AF80" s="172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20">
        <f>AVERAGE(C80:AF80)</f>
        <v>7.7560927139889113</v>
      </c>
      <c r="BW80" s="20">
        <f>STDEV(C80:AE80)</f>
        <v>3.3308972047963823</v>
      </c>
      <c r="BX80" s="21"/>
      <c r="BY80" s="106" t="s">
        <v>43</v>
      </c>
      <c r="BZ80" s="63"/>
      <c r="CA80" s="61"/>
      <c r="CB80" s="55"/>
    </row>
    <row r="81" spans="1:82" ht="18.75" x14ac:dyDescent="0.3">
      <c r="B81" s="19">
        <v>28.7</v>
      </c>
      <c r="C81" s="171">
        <f>C76/(B81*C75*C77)</f>
        <v>4.2105859658916334</v>
      </c>
      <c r="D81" s="172"/>
      <c r="E81" s="171">
        <f>E76/(B81*E75*E77)</f>
        <v>2.4406707928010052</v>
      </c>
      <c r="F81" s="172"/>
      <c r="G81" s="171">
        <f>G76/(B81*G75*G77)</f>
        <v>8.4795411797354419</v>
      </c>
      <c r="H81" s="172"/>
      <c r="I81" s="171">
        <f>I76/(B81*I75*I77)</f>
        <v>5.0569782798994742</v>
      </c>
      <c r="J81" s="172"/>
      <c r="K81" s="171">
        <f>K76/($B$81*K75*K77)</f>
        <v>6.5666899379408168</v>
      </c>
      <c r="L81" s="172"/>
      <c r="M81" s="171"/>
      <c r="N81" s="172"/>
      <c r="O81" s="171"/>
      <c r="P81" s="172"/>
      <c r="Q81" s="171"/>
      <c r="R81" s="172"/>
      <c r="S81" s="171"/>
      <c r="T81" s="172"/>
      <c r="U81" s="171"/>
      <c r="V81" s="172"/>
      <c r="W81" s="171"/>
      <c r="X81" s="172"/>
      <c r="Y81" s="171"/>
      <c r="Z81" s="172"/>
      <c r="AA81" s="171"/>
      <c r="AB81" s="172"/>
      <c r="AC81" s="171"/>
      <c r="AD81" s="172"/>
      <c r="AE81" s="171"/>
      <c r="AF81" s="172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0">
        <f>AVERAGE(C81:AF81)</f>
        <v>5.3508932312536741</v>
      </c>
      <c r="BW81" s="20">
        <f>STDEV(C81:AE81)</f>
        <v>2.2979708939013377</v>
      </c>
      <c r="BX81" s="21"/>
      <c r="BY81" s="62" t="s">
        <v>44</v>
      </c>
      <c r="BZ81" s="107">
        <f>AVERAGE(C79:L81)</f>
        <v>9.0653450318080946</v>
      </c>
      <c r="CA81" s="61" t="s">
        <v>48</v>
      </c>
      <c r="CB81" s="110">
        <f>BZ81/0.386</f>
        <v>23.485349823337032</v>
      </c>
      <c r="CC81" s="110" t="s">
        <v>49</v>
      </c>
    </row>
    <row r="82" spans="1:82" ht="18.75" x14ac:dyDescent="0.3">
      <c r="B82" s="19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0"/>
      <c r="BW82" s="20"/>
      <c r="BX82" s="21"/>
      <c r="BY82" s="71" t="s">
        <v>94</v>
      </c>
      <c r="BZ82" s="72">
        <f>_xlfn.VAR.S(C79:AF81)</f>
        <v>29.691907797163385</v>
      </c>
      <c r="CA82" s="61" t="s">
        <v>48</v>
      </c>
      <c r="CB82" s="110">
        <f>BZ82/0.386</f>
        <v>76.922040925293743</v>
      </c>
      <c r="CC82" s="110" t="s">
        <v>49</v>
      </c>
    </row>
    <row r="83" spans="1:82" ht="18.75" x14ac:dyDescent="0.3">
      <c r="B83" s="77" t="s">
        <v>41</v>
      </c>
      <c r="C83" s="173">
        <f>AVERAGE(C79:C81)</f>
        <v>7.1334659312485584</v>
      </c>
      <c r="D83" s="173"/>
      <c r="E83" s="173">
        <f>AVERAGE(E79:E81)</f>
        <v>4.1349213840721442</v>
      </c>
      <c r="F83" s="173"/>
      <c r="G83" s="173">
        <f>AVERAGE(G79:G81)</f>
        <v>14.365819533969052</v>
      </c>
      <c r="H83" s="173"/>
      <c r="I83" s="173">
        <f>AVERAGE(I79:I81)</f>
        <v>8.5674019167277233</v>
      </c>
      <c r="J83" s="173"/>
      <c r="K83" s="173">
        <f>AVERAGE(K79:K81)</f>
        <v>11.125116393022985</v>
      </c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20"/>
      <c r="BW83" s="20"/>
      <c r="BX83" s="21"/>
      <c r="BY83" s="71" t="s">
        <v>46</v>
      </c>
      <c r="BZ83" s="72">
        <f>MAX(C79:AF81)</f>
        <v>22.326865308110744</v>
      </c>
      <c r="CA83" s="61" t="s">
        <v>48</v>
      </c>
      <c r="CB83" s="110">
        <f>BZ83/0.386</f>
        <v>57.841619969198817</v>
      </c>
      <c r="CC83" s="110" t="s">
        <v>49</v>
      </c>
    </row>
    <row r="84" spans="1:82" ht="18.75" x14ac:dyDescent="0.3">
      <c r="AB84" s="33"/>
      <c r="BX84" s="21"/>
      <c r="BY84" s="71" t="s">
        <v>47</v>
      </c>
      <c r="BZ84" s="72">
        <f>MIN(C79:AF81)</f>
        <v>2.4406707928010052</v>
      </c>
      <c r="CA84" s="108" t="s">
        <v>48</v>
      </c>
      <c r="CB84" s="110">
        <f>BZ84/0.386</f>
        <v>6.3229813285000134</v>
      </c>
      <c r="CC84" s="110" t="s">
        <v>49</v>
      </c>
    </row>
    <row r="85" spans="1:82" ht="18.75" x14ac:dyDescent="0.3">
      <c r="BX85" s="21"/>
      <c r="BY85" s="68" t="s">
        <v>53</v>
      </c>
      <c r="BZ85" s="72">
        <f>COUNT(C79:L81)</f>
        <v>15</v>
      </c>
      <c r="CA85" s="61"/>
      <c r="CB85" s="55"/>
    </row>
    <row r="86" spans="1:82" ht="18.75" x14ac:dyDescent="0.3">
      <c r="BX86" s="21"/>
      <c r="BY86" s="66"/>
      <c r="BZ86" s="72"/>
      <c r="CA86" s="61"/>
      <c r="CB86" s="61"/>
    </row>
    <row r="87" spans="1:82" ht="18.75" x14ac:dyDescent="0.3">
      <c r="A87" s="18"/>
      <c r="BX87" s="21"/>
      <c r="BY87" s="68" t="s">
        <v>95</v>
      </c>
      <c r="BZ87" s="69"/>
      <c r="CA87" s="110">
        <f>BZ81-BZ90</f>
        <v>6.0421273606889976</v>
      </c>
      <c r="CB87" s="110">
        <f>BZ81+BZ90</f>
        <v>12.088562702927192</v>
      </c>
      <c r="CC87" s="111" t="s">
        <v>48</v>
      </c>
      <c r="CD87"/>
    </row>
    <row r="88" spans="1:82" ht="18.75" x14ac:dyDescent="0.3">
      <c r="BV88" s="141"/>
      <c r="BW88" s="141"/>
      <c r="BX88" s="21"/>
      <c r="BY88" s="71"/>
      <c r="BZ88" s="166"/>
      <c r="CA88" s="110">
        <f>CA87/0.385</f>
        <v>15.693837300490902</v>
      </c>
      <c r="CB88" s="110">
        <f>CB87/0.386</f>
        <v>31.317519955769924</v>
      </c>
      <c r="CC88" s="111" t="s">
        <v>49</v>
      </c>
    </row>
    <row r="89" spans="1:82" ht="23.25" x14ac:dyDescent="0.35">
      <c r="BV89" s="38"/>
      <c r="BW89" s="39"/>
      <c r="BX89" s="21"/>
      <c r="BY89" s="2" t="s">
        <v>97</v>
      </c>
      <c r="BZ89" s="18"/>
    </row>
    <row r="90" spans="1:82" ht="23.25" x14ac:dyDescent="0.35">
      <c r="BV90" s="39"/>
      <c r="BW90" s="41"/>
      <c r="BX90" s="21"/>
      <c r="BY90" s="2" t="s">
        <v>52</v>
      </c>
      <c r="BZ90" s="18">
        <f>2.1488*BZ91</f>
        <v>3.0232176711190966</v>
      </c>
    </row>
    <row r="91" spans="1:82" s="18" customFormat="1" ht="23.2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39"/>
      <c r="BW91" s="41"/>
      <c r="BX91" s="27"/>
      <c r="BY91" s="2" t="s">
        <v>90</v>
      </c>
      <c r="BZ91" s="18">
        <f>SQRT(BZ82)/SQRT(BZ85)</f>
        <v>1.4069330189496911</v>
      </c>
    </row>
    <row r="92" spans="1:82" ht="15" x14ac:dyDescent="0.25">
      <c r="AA92" s="47"/>
      <c r="BV92" s="48"/>
      <c r="BW92" s="49"/>
      <c r="BZ92" s="18"/>
      <c r="CA92" s="31"/>
      <c r="CB92" s="31"/>
    </row>
    <row r="93" spans="1:82" ht="17.25" customHeight="1" x14ac:dyDescent="0.25">
      <c r="AA93" s="56"/>
      <c r="BV93" s="57"/>
      <c r="BW93" s="49"/>
      <c r="BZ93" s="18"/>
      <c r="CA93" s="31"/>
      <c r="CB93" s="31"/>
    </row>
    <row r="94" spans="1:82" ht="15.75" customHeight="1" x14ac:dyDescent="0.25">
      <c r="AA94" s="56"/>
      <c r="BV94" s="57"/>
      <c r="BW94" s="49"/>
      <c r="BY94" s="18"/>
      <c r="BZ94" s="18"/>
      <c r="CA94" s="31"/>
      <c r="CB94" s="31"/>
      <c r="CD94" s="36"/>
    </row>
    <row r="95" spans="1:82" ht="15" customHeight="1" x14ac:dyDescent="0.25">
      <c r="AA95" s="26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57"/>
      <c r="BW95" s="49"/>
      <c r="BY95" s="121" t="s">
        <v>114</v>
      </c>
    </row>
    <row r="96" spans="1:82" ht="15.75" customHeight="1" x14ac:dyDescent="0.25">
      <c r="AA96" s="26"/>
      <c r="BV96" s="48"/>
      <c r="BW96" s="49"/>
      <c r="BZ96" s="122" t="s">
        <v>115</v>
      </c>
      <c r="CA96" s="122" t="s">
        <v>116</v>
      </c>
      <c r="CB96" s="122" t="s">
        <v>117</v>
      </c>
      <c r="CC96" s="122" t="s">
        <v>118</v>
      </c>
    </row>
    <row r="97" spans="1:84" ht="16.5" customHeight="1" x14ac:dyDescent="0.25">
      <c r="AA97" s="26"/>
      <c r="BV97" s="48"/>
      <c r="BW97" s="49"/>
      <c r="BX97" s="141"/>
      <c r="BZ97" s="123">
        <v>42703</v>
      </c>
      <c r="CA97" s="121">
        <v>24</v>
      </c>
      <c r="CB97" s="121">
        <f>BZ97-$A$74</f>
        <v>-363</v>
      </c>
      <c r="CC97" s="121">
        <f>CA97*CB97*$B$80</f>
        <v>-172497.6</v>
      </c>
    </row>
    <row r="98" spans="1:84" ht="16.5" customHeight="1" x14ac:dyDescent="0.35">
      <c r="AA98" s="26"/>
      <c r="BV98" s="48"/>
      <c r="BW98" s="49"/>
      <c r="BX98" s="39"/>
      <c r="BZ98" s="123">
        <v>42704</v>
      </c>
      <c r="CA98" s="121">
        <v>17</v>
      </c>
      <c r="CB98" s="121">
        <f t="shared" ref="CB98:CB100" si="10">BZ98-$A$74</f>
        <v>-362</v>
      </c>
      <c r="CC98" s="121">
        <f t="shared" ref="CC98:CC100" si="11">CA98*CB98*$B$80</f>
        <v>-121849.20000000001</v>
      </c>
    </row>
    <row r="99" spans="1:84" ht="16.5" customHeight="1" x14ac:dyDescent="0.25">
      <c r="AA99" s="26"/>
      <c r="BV99" s="48"/>
      <c r="BW99" s="49"/>
      <c r="BX99" s="41"/>
      <c r="BZ99" s="123">
        <v>42707</v>
      </c>
      <c r="CA99" s="121">
        <v>9</v>
      </c>
      <c r="CB99" s="121">
        <f t="shared" si="10"/>
        <v>-359</v>
      </c>
      <c r="CC99" s="121">
        <f t="shared" si="11"/>
        <v>-63973.8</v>
      </c>
    </row>
    <row r="100" spans="1:84" ht="15.75" x14ac:dyDescent="0.2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70"/>
      <c r="AB100" s="7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48"/>
      <c r="BW100" s="49"/>
      <c r="BX100" s="41"/>
      <c r="BZ100" s="123">
        <v>42708</v>
      </c>
      <c r="CA100" s="121">
        <v>8</v>
      </c>
      <c r="CB100" s="121">
        <f t="shared" si="10"/>
        <v>-358</v>
      </c>
      <c r="CC100" s="121">
        <f t="shared" si="11"/>
        <v>-56707.200000000004</v>
      </c>
    </row>
    <row r="101" spans="1:84" ht="15" x14ac:dyDescent="0.25">
      <c r="A101" s="64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70"/>
      <c r="AB101" s="7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48"/>
      <c r="BW101" s="49"/>
      <c r="BX101" s="50"/>
      <c r="BY101" s="40"/>
      <c r="CA101" s="51"/>
      <c r="CB101" s="51"/>
      <c r="CC101" s="51"/>
    </row>
    <row r="102" spans="1:84" ht="15.75" x14ac:dyDescent="0.25">
      <c r="A102" s="64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70"/>
      <c r="AB102" s="7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48"/>
      <c r="BW102" s="49"/>
      <c r="BX102" s="50"/>
      <c r="BY102" s="40"/>
      <c r="CB102" s="121">
        <f>BZ79*BZ81*B80*BV71</f>
        <v>351879.08858281339</v>
      </c>
      <c r="CC102" s="124" t="s">
        <v>119</v>
      </c>
    </row>
    <row r="103" spans="1:84" ht="15.75" x14ac:dyDescent="0.25">
      <c r="A103" s="64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70"/>
      <c r="AB103" s="7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48"/>
      <c r="BW103" s="49"/>
      <c r="BX103" s="50"/>
      <c r="BY103" s="40"/>
      <c r="CB103" s="121">
        <f>CB102-CC100-CC99-CC98-CC97</f>
        <v>766906.88858281344</v>
      </c>
      <c r="CC103" s="124" t="s">
        <v>121</v>
      </c>
    </row>
    <row r="104" spans="1:84" ht="15" x14ac:dyDescent="0.25">
      <c r="A104" s="64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70"/>
      <c r="AB104" s="7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48"/>
      <c r="BW104" s="49"/>
      <c r="BX104" s="50"/>
      <c r="BY104" s="40"/>
    </row>
    <row r="105" spans="1:84" ht="15.75" x14ac:dyDescent="0.25">
      <c r="A105" s="67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70"/>
      <c r="AB105" s="7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48"/>
      <c r="BW105" s="49"/>
      <c r="BX105" s="50"/>
      <c r="BY105" s="58"/>
      <c r="CB105" s="126">
        <f>CB103/(B80*BV71*BZ79)</f>
        <v>19.757569511373276</v>
      </c>
      <c r="CC105" s="124" t="s">
        <v>122</v>
      </c>
    </row>
    <row r="106" spans="1:84" ht="15" x14ac:dyDescent="0.25">
      <c r="A106" s="67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70"/>
      <c r="AB106" s="7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48"/>
      <c r="BW106" s="49"/>
      <c r="BX106" s="50"/>
      <c r="BY106" s="58"/>
    </row>
    <row r="107" spans="1:84" ht="15" x14ac:dyDescent="0.25">
      <c r="A107" s="73"/>
      <c r="AA107" s="70"/>
      <c r="AB107" s="70"/>
      <c r="BV107" s="48"/>
      <c r="BW107" s="49"/>
      <c r="BX107" s="50"/>
      <c r="BY107" s="58"/>
    </row>
    <row r="108" spans="1:84" x14ac:dyDescent="0.2">
      <c r="A108" s="73"/>
      <c r="B108" s="27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BV108" s="48"/>
      <c r="BW108" s="49"/>
      <c r="BX108" s="50"/>
      <c r="BY108" s="65"/>
    </row>
    <row r="109" spans="1:84" s="60" customFormat="1" x14ac:dyDescent="0.2">
      <c r="A109" s="73"/>
      <c r="B109" s="27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48"/>
      <c r="BW109" s="49"/>
      <c r="BX109" s="50"/>
      <c r="BY109" s="58"/>
      <c r="BZ109" s="2"/>
      <c r="CA109" s="2"/>
      <c r="CB109" s="2"/>
      <c r="CC109" s="2"/>
      <c r="CD109" s="2"/>
      <c r="CE109" s="2"/>
      <c r="CF109" s="2"/>
    </row>
    <row r="110" spans="1:84" s="60" customFormat="1" x14ac:dyDescent="0.2">
      <c r="A110" s="7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48"/>
      <c r="BW110" s="49"/>
      <c r="BX110" s="50"/>
      <c r="BY110" s="58"/>
      <c r="BZ110" s="2"/>
      <c r="CA110" s="2" t="s">
        <v>123</v>
      </c>
      <c r="CB110" s="2"/>
      <c r="CC110" s="2"/>
      <c r="CD110" s="2"/>
      <c r="CE110" s="2"/>
      <c r="CF110" s="2"/>
    </row>
    <row r="111" spans="1:84" s="60" customFormat="1" x14ac:dyDescent="0.2">
      <c r="A111" s="7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48"/>
      <c r="BW111" s="49"/>
      <c r="BX111" s="50"/>
      <c r="BY111" s="58"/>
      <c r="BZ111" s="59"/>
      <c r="CA111" s="51"/>
      <c r="CD111" s="2"/>
      <c r="CE111" s="2"/>
      <c r="CF111" s="2"/>
    </row>
    <row r="112" spans="1:84" s="60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48"/>
      <c r="BW112" s="49"/>
      <c r="BX112" s="50"/>
      <c r="BY112" s="58"/>
      <c r="BZ112" s="59"/>
      <c r="CA112" s="51"/>
      <c r="CD112" s="2"/>
      <c r="CE112" s="2"/>
      <c r="CF112" s="2"/>
    </row>
    <row r="113" spans="1:81" s="60" customFormat="1" x14ac:dyDescent="0.2">
      <c r="A113" s="22"/>
      <c r="B113" s="1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48"/>
      <c r="BW113" s="49"/>
      <c r="BX113" s="50"/>
      <c r="BY113" s="58"/>
      <c r="BZ113" s="59"/>
      <c r="CA113" s="51"/>
    </row>
    <row r="114" spans="1:81" s="60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48"/>
      <c r="BW114" s="49"/>
      <c r="BX114" s="50"/>
      <c r="BY114" s="58"/>
      <c r="BZ114" s="59"/>
      <c r="CA114" s="51"/>
    </row>
    <row r="115" spans="1:81" s="60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48"/>
      <c r="BW115" s="49"/>
      <c r="BX115" s="50"/>
      <c r="BY115" s="58"/>
      <c r="BZ115" s="59"/>
      <c r="CA115" s="51"/>
    </row>
    <row r="116" spans="1:81" x14ac:dyDescent="0.2">
      <c r="BV116" s="48"/>
      <c r="BW116" s="49"/>
      <c r="BX116" s="50"/>
      <c r="BY116" s="58"/>
      <c r="BZ116" s="59"/>
      <c r="CA116" s="51"/>
      <c r="CB116" s="51"/>
      <c r="CC116" s="51"/>
    </row>
    <row r="117" spans="1:81" x14ac:dyDescent="0.2">
      <c r="BV117" s="48"/>
      <c r="BW117" s="49"/>
      <c r="BX117" s="50"/>
      <c r="BY117" s="58"/>
      <c r="BZ117" s="59"/>
      <c r="CA117" s="51"/>
      <c r="CB117" s="51"/>
      <c r="CC117" s="51"/>
    </row>
    <row r="118" spans="1:81" x14ac:dyDescent="0.2">
      <c r="BV118" s="48"/>
      <c r="BW118" s="49"/>
      <c r="BX118" s="50"/>
      <c r="BY118" s="58"/>
      <c r="BZ118" s="59"/>
      <c r="CA118" s="51"/>
      <c r="CB118" s="51"/>
      <c r="CC118" s="51"/>
    </row>
    <row r="119" spans="1:81" x14ac:dyDescent="0.2">
      <c r="BV119" s="48"/>
      <c r="BW119" s="49"/>
      <c r="BX119" s="50"/>
      <c r="BY119" s="58"/>
      <c r="BZ119" s="51"/>
      <c r="CA119" s="51"/>
      <c r="CB119" s="51"/>
      <c r="CC119" s="51"/>
    </row>
    <row r="120" spans="1:81" x14ac:dyDescent="0.2">
      <c r="BV120" s="40"/>
      <c r="BW120" s="50"/>
      <c r="BX120" s="50"/>
      <c r="BY120" s="58"/>
      <c r="BZ120" s="51"/>
      <c r="CA120" s="51"/>
      <c r="CB120" s="51"/>
      <c r="CC120" s="51"/>
    </row>
    <row r="121" spans="1:81" x14ac:dyDescent="0.2">
      <c r="BV121" s="40"/>
      <c r="BW121" s="40"/>
      <c r="BX121" s="50"/>
      <c r="BY121" s="58"/>
      <c r="BZ121" s="51"/>
      <c r="CA121" s="51"/>
      <c r="CB121" s="51"/>
      <c r="CC121" s="51"/>
    </row>
    <row r="122" spans="1:81" x14ac:dyDescent="0.2">
      <c r="BX122" s="50"/>
      <c r="BY122" s="58"/>
      <c r="BZ122" s="51"/>
      <c r="CA122" s="51"/>
      <c r="CB122" s="51"/>
      <c r="CC122" s="51"/>
    </row>
    <row r="123" spans="1:81" x14ac:dyDescent="0.2">
      <c r="BX123" s="50"/>
      <c r="BY123" s="76"/>
      <c r="BZ123" s="51"/>
      <c r="CA123" s="51"/>
      <c r="CB123" s="51"/>
      <c r="CC123" s="51"/>
    </row>
    <row r="124" spans="1:81" x14ac:dyDescent="0.2">
      <c r="BX124" s="50"/>
      <c r="BY124" s="76"/>
      <c r="BZ124" s="51"/>
      <c r="CA124" s="51"/>
      <c r="CB124" s="51"/>
      <c r="CC124" s="51"/>
    </row>
    <row r="125" spans="1:81" x14ac:dyDescent="0.2">
      <c r="BX125" s="50"/>
      <c r="BY125" s="76"/>
      <c r="BZ125" s="51"/>
      <c r="CA125" s="51"/>
      <c r="CB125" s="51"/>
      <c r="CC125" s="51"/>
    </row>
    <row r="126" spans="1:81" x14ac:dyDescent="0.2">
      <c r="BX126" s="50"/>
      <c r="BY126" s="76"/>
      <c r="BZ126" s="51"/>
      <c r="CA126" s="51"/>
      <c r="CB126" s="51"/>
      <c r="CC126" s="51"/>
    </row>
    <row r="127" spans="1:81" x14ac:dyDescent="0.2">
      <c r="BX127" s="50"/>
      <c r="BY127" s="76"/>
      <c r="BZ127" s="51"/>
      <c r="CA127" s="51"/>
      <c r="CB127" s="51"/>
      <c r="CC127" s="51"/>
    </row>
    <row r="128" spans="1:81" x14ac:dyDescent="0.2">
      <c r="BX128" s="50"/>
      <c r="BY128" s="76"/>
      <c r="BZ128" s="51"/>
      <c r="CA128" s="51"/>
      <c r="CB128" s="51"/>
      <c r="CC128" s="51"/>
    </row>
    <row r="129" spans="76:81" x14ac:dyDescent="0.2">
      <c r="BX129" s="50"/>
      <c r="BY129" s="76"/>
      <c r="BZ129" s="51"/>
      <c r="CA129" s="51"/>
      <c r="CB129" s="51"/>
      <c r="CC129" s="51"/>
    </row>
    <row r="130" spans="76:81" x14ac:dyDescent="0.2">
      <c r="BX130" s="40"/>
      <c r="BY130" s="76"/>
      <c r="BZ130" s="51"/>
      <c r="CA130" s="51"/>
      <c r="CB130" s="51"/>
      <c r="CC130" s="51"/>
    </row>
    <row r="131" spans="76:81" x14ac:dyDescent="0.2">
      <c r="BY131" s="76"/>
      <c r="BZ131" s="51"/>
    </row>
    <row r="132" spans="76:81" x14ac:dyDescent="0.2">
      <c r="BY132" s="76"/>
      <c r="BZ132" s="51"/>
    </row>
    <row r="133" spans="76:81" x14ac:dyDescent="0.2">
      <c r="BY133" s="76"/>
      <c r="BZ133" s="51"/>
    </row>
  </sheetData>
  <mergeCells count="122">
    <mergeCell ref="M81:N81"/>
    <mergeCell ref="U83:V83"/>
    <mergeCell ref="W83:X83"/>
    <mergeCell ref="Y83:Z83"/>
    <mergeCell ref="AA83:AB83"/>
    <mergeCell ref="AC83:AD83"/>
    <mergeCell ref="AE83:AF83"/>
    <mergeCell ref="AE81:AF81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S81:T81"/>
    <mergeCell ref="U81:V81"/>
    <mergeCell ref="W81:X81"/>
    <mergeCell ref="Y81:Z81"/>
    <mergeCell ref="AA81:AB81"/>
    <mergeCell ref="AC81:AD81"/>
    <mergeCell ref="C81:D81"/>
    <mergeCell ref="E81:F81"/>
    <mergeCell ref="O81:P81"/>
    <mergeCell ref="Q81:R81"/>
    <mergeCell ref="G81:H81"/>
    <mergeCell ref="I81:J81"/>
    <mergeCell ref="K81:L81"/>
    <mergeCell ref="Q80:R80"/>
    <mergeCell ref="AA79:AB79"/>
    <mergeCell ref="AC79:AD79"/>
    <mergeCell ref="AE79:AF79"/>
    <mergeCell ref="C80:D80"/>
    <mergeCell ref="E80:F80"/>
    <mergeCell ref="G80:H80"/>
    <mergeCell ref="I80:J80"/>
    <mergeCell ref="K80:L80"/>
    <mergeCell ref="M80:N80"/>
    <mergeCell ref="O80:P80"/>
    <mergeCell ref="O79:P79"/>
    <mergeCell ref="Q79:R79"/>
    <mergeCell ref="S79:T79"/>
    <mergeCell ref="U79:V79"/>
    <mergeCell ref="W79:X79"/>
    <mergeCell ref="Y79:Z79"/>
    <mergeCell ref="C79:D79"/>
    <mergeCell ref="E79:F79"/>
    <mergeCell ref="G79:H79"/>
    <mergeCell ref="I79:J79"/>
    <mergeCell ref="K79:L79"/>
    <mergeCell ref="M79:N79"/>
    <mergeCell ref="AC80:AD80"/>
    <mergeCell ref="AE80:AF80"/>
    <mergeCell ref="U77:V77"/>
    <mergeCell ref="W77:X77"/>
    <mergeCell ref="Y77:Z77"/>
    <mergeCell ref="AA77:AB77"/>
    <mergeCell ref="AC77:AD77"/>
    <mergeCell ref="AE77:AF77"/>
    <mergeCell ref="S80:T80"/>
    <mergeCell ref="U80:V80"/>
    <mergeCell ref="W80:X80"/>
    <mergeCell ref="Y80:Z80"/>
    <mergeCell ref="AA80:AB80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AC75:AD75"/>
    <mergeCell ref="AE75:AF75"/>
    <mergeCell ref="C76:D76"/>
    <mergeCell ref="E76:F76"/>
    <mergeCell ref="G76:H76"/>
    <mergeCell ref="I76:J76"/>
    <mergeCell ref="K76:L76"/>
    <mergeCell ref="M76:N76"/>
    <mergeCell ref="O76:P76"/>
    <mergeCell ref="Q76:R76"/>
    <mergeCell ref="Q75:R75"/>
    <mergeCell ref="S75:T75"/>
    <mergeCell ref="U75:V75"/>
    <mergeCell ref="W75:X75"/>
    <mergeCell ref="Y75:Z75"/>
    <mergeCell ref="AA75:AB75"/>
    <mergeCell ref="AE76:AF76"/>
    <mergeCell ref="S76:T76"/>
    <mergeCell ref="U76:V76"/>
    <mergeCell ref="W76:X76"/>
    <mergeCell ref="Y76:Z76"/>
    <mergeCell ref="AA76:AB76"/>
    <mergeCell ref="AC76:AD76"/>
    <mergeCell ref="A1:A3"/>
    <mergeCell ref="A4:A5"/>
    <mergeCell ref="AA74:AB74"/>
    <mergeCell ref="AC74:AD74"/>
    <mergeCell ref="AE74:AF74"/>
    <mergeCell ref="C75:D75"/>
    <mergeCell ref="E75:F75"/>
    <mergeCell ref="G75:H75"/>
    <mergeCell ref="I75:J75"/>
    <mergeCell ref="K75:L75"/>
    <mergeCell ref="M75:N75"/>
    <mergeCell ref="O75:P75"/>
    <mergeCell ref="O74:P74"/>
    <mergeCell ref="Q74:R74"/>
    <mergeCell ref="S74:T74"/>
    <mergeCell ref="U74:V74"/>
    <mergeCell ref="W74:X74"/>
    <mergeCell ref="Y74:Z74"/>
    <mergeCell ref="C74:D74"/>
    <mergeCell ref="E74:F74"/>
    <mergeCell ref="G74:H74"/>
    <mergeCell ref="I74:J74"/>
    <mergeCell ref="K74:L74"/>
    <mergeCell ref="M74:N74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7"/>
  <sheetViews>
    <sheetView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AI77" sqref="AI77"/>
    </sheetView>
  </sheetViews>
  <sheetFormatPr defaultColWidth="11.42578125" defaultRowHeight="12.75" x14ac:dyDescent="0.2"/>
  <cols>
    <col min="1" max="1" width="25.7109375" style="2" customWidth="1"/>
    <col min="2" max="2" width="35.42578125" style="2" customWidth="1"/>
    <col min="3" max="30" width="11.42578125" style="2" customWidth="1"/>
    <col min="31" max="31" width="10.7109375" style="2" customWidth="1"/>
    <col min="32" max="32" width="9.42578125" style="2" customWidth="1"/>
    <col min="33" max="33" width="2.5703125" style="2" customWidth="1"/>
    <col min="34" max="34" width="35.140625" style="2" customWidth="1"/>
    <col min="35" max="35" width="11.42578125" style="2"/>
    <col min="36" max="36" width="12.28515625" style="2" bestFit="1" customWidth="1"/>
    <col min="37" max="16384" width="11.42578125" style="2"/>
  </cols>
  <sheetData>
    <row r="1" spans="1:33" ht="15.75" x14ac:dyDescent="0.25">
      <c r="A1" s="95" t="s">
        <v>69</v>
      </c>
      <c r="B1" s="84"/>
      <c r="C1" s="85" t="s">
        <v>70</v>
      </c>
      <c r="D1" s="85" t="s">
        <v>17</v>
      </c>
      <c r="E1" s="85" t="s">
        <v>18</v>
      </c>
      <c r="F1" s="85" t="s">
        <v>65</v>
      </c>
      <c r="G1" s="85" t="s">
        <v>66</v>
      </c>
      <c r="H1" s="85" t="s">
        <v>67</v>
      </c>
      <c r="I1" s="85" t="s">
        <v>19</v>
      </c>
      <c r="J1" s="85" t="s">
        <v>20</v>
      </c>
      <c r="K1" s="85" t="s">
        <v>21</v>
      </c>
      <c r="L1" s="85" t="s">
        <v>71</v>
      </c>
      <c r="M1" s="85" t="s">
        <v>72</v>
      </c>
      <c r="N1" s="85" t="s">
        <v>73</v>
      </c>
      <c r="O1" s="85" t="s">
        <v>74</v>
      </c>
      <c r="P1" s="85" t="s">
        <v>75</v>
      </c>
      <c r="Q1" s="85" t="s">
        <v>76</v>
      </c>
      <c r="R1" s="85" t="s">
        <v>22</v>
      </c>
      <c r="S1" s="85" t="s">
        <v>23</v>
      </c>
      <c r="T1" s="85" t="s">
        <v>24</v>
      </c>
      <c r="U1" s="85" t="s">
        <v>25</v>
      </c>
      <c r="V1" s="85" t="s">
        <v>26</v>
      </c>
      <c r="W1" s="85" t="s">
        <v>77</v>
      </c>
      <c r="X1" s="85" t="s">
        <v>78</v>
      </c>
      <c r="Y1" s="85" t="s">
        <v>55</v>
      </c>
      <c r="Z1" s="85" t="s">
        <v>56</v>
      </c>
      <c r="AA1" s="85" t="s">
        <v>79</v>
      </c>
      <c r="AB1" s="85" t="s">
        <v>80</v>
      </c>
      <c r="AC1" s="85" t="s">
        <v>81</v>
      </c>
      <c r="AD1" s="85" t="s">
        <v>82</v>
      </c>
      <c r="AE1" s="1"/>
      <c r="AF1" s="1"/>
      <c r="AG1" s="1"/>
    </row>
    <row r="2" spans="1:33" ht="15" x14ac:dyDescent="0.25">
      <c r="A2" s="96">
        <v>2016</v>
      </c>
      <c r="B2" s="84" t="s">
        <v>13</v>
      </c>
      <c r="C2" s="86">
        <v>42436</v>
      </c>
      <c r="D2" s="86">
        <v>42436</v>
      </c>
      <c r="E2" s="86">
        <v>42436</v>
      </c>
      <c r="F2" s="86">
        <v>42436</v>
      </c>
      <c r="G2" s="86">
        <v>42436</v>
      </c>
      <c r="H2" s="86">
        <v>42436</v>
      </c>
      <c r="I2" s="86">
        <v>42436</v>
      </c>
      <c r="J2" s="86">
        <v>42436</v>
      </c>
      <c r="K2" s="86">
        <v>42436</v>
      </c>
      <c r="L2" s="86">
        <v>42436</v>
      </c>
      <c r="M2" s="86">
        <v>42436</v>
      </c>
      <c r="N2" s="86">
        <v>42436</v>
      </c>
      <c r="O2" s="86">
        <v>42436</v>
      </c>
      <c r="P2" s="86">
        <v>42436</v>
      </c>
      <c r="Q2" s="86">
        <v>42436</v>
      </c>
      <c r="R2" s="86">
        <v>42436</v>
      </c>
      <c r="S2" s="86">
        <v>42436</v>
      </c>
      <c r="T2" s="86">
        <v>42436</v>
      </c>
      <c r="U2" s="86">
        <v>42436</v>
      </c>
      <c r="V2" s="86">
        <v>42436</v>
      </c>
      <c r="W2" s="86">
        <v>42436</v>
      </c>
      <c r="X2" s="86">
        <v>42436</v>
      </c>
      <c r="Y2" s="86">
        <v>42436</v>
      </c>
      <c r="Z2" s="86">
        <v>42436</v>
      </c>
      <c r="AA2" s="86">
        <v>42436</v>
      </c>
      <c r="AB2" s="86">
        <v>42436</v>
      </c>
      <c r="AC2" s="86">
        <v>42436</v>
      </c>
      <c r="AD2" s="86">
        <v>42436</v>
      </c>
      <c r="AE2" s="3"/>
      <c r="AF2" s="3"/>
      <c r="AG2" s="3"/>
    </row>
    <row r="3" spans="1:33" ht="15" x14ac:dyDescent="0.25">
      <c r="B3" s="97">
        <v>1</v>
      </c>
      <c r="C3" s="4">
        <v>1</v>
      </c>
      <c r="D3" s="4">
        <v>0</v>
      </c>
      <c r="E3" s="4">
        <v>1</v>
      </c>
      <c r="F3" s="4">
        <v>0</v>
      </c>
      <c r="G3" s="4">
        <v>0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0</v>
      </c>
      <c r="U3" s="4">
        <v>1</v>
      </c>
      <c r="V3" s="4">
        <v>1</v>
      </c>
      <c r="W3" s="4">
        <v>1</v>
      </c>
      <c r="X3" s="4">
        <v>1</v>
      </c>
      <c r="Y3" s="4">
        <v>0</v>
      </c>
      <c r="Z3" s="4">
        <v>0</v>
      </c>
      <c r="AA3" s="4">
        <v>1</v>
      </c>
      <c r="AB3" s="4">
        <v>1</v>
      </c>
      <c r="AC3" s="4">
        <v>1</v>
      </c>
      <c r="AD3" s="4">
        <v>1</v>
      </c>
      <c r="AE3" s="1"/>
    </row>
    <row r="4" spans="1:33" ht="15" x14ac:dyDescent="0.25">
      <c r="B4" s="97">
        <f>1+B3</f>
        <v>2</v>
      </c>
      <c r="C4" s="4">
        <v>1</v>
      </c>
      <c r="D4" s="4">
        <v>0</v>
      </c>
      <c r="E4" s="4">
        <v>1</v>
      </c>
      <c r="F4" s="4">
        <v>0</v>
      </c>
      <c r="G4" s="4">
        <v>0</v>
      </c>
      <c r="H4" s="4">
        <v>1</v>
      </c>
      <c r="I4" s="4">
        <v>1</v>
      </c>
      <c r="J4" s="4">
        <v>1</v>
      </c>
      <c r="K4" s="4">
        <v>0</v>
      </c>
      <c r="L4" s="4">
        <v>1</v>
      </c>
      <c r="M4" s="4">
        <v>1</v>
      </c>
      <c r="N4" s="4">
        <v>1</v>
      </c>
      <c r="O4" s="4">
        <v>1</v>
      </c>
      <c r="P4" s="4">
        <v>0</v>
      </c>
      <c r="Q4" s="4">
        <v>1</v>
      </c>
      <c r="R4" s="4">
        <v>1</v>
      </c>
      <c r="S4" s="4">
        <v>1</v>
      </c>
      <c r="T4" s="4">
        <v>0</v>
      </c>
      <c r="U4" s="4">
        <v>1</v>
      </c>
      <c r="V4" s="4">
        <v>1</v>
      </c>
      <c r="W4" s="4">
        <v>1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1"/>
    </row>
    <row r="5" spans="1:33" ht="15" x14ac:dyDescent="0.25">
      <c r="B5" s="97">
        <f t="shared" ref="B5:B58" si="0">1+B4</f>
        <v>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1</v>
      </c>
      <c r="J5" s="4">
        <v>1</v>
      </c>
      <c r="K5" s="4">
        <v>0</v>
      </c>
      <c r="L5" s="4">
        <v>1</v>
      </c>
      <c r="M5" s="4">
        <v>0</v>
      </c>
      <c r="N5" s="4">
        <v>0</v>
      </c>
      <c r="O5" s="4">
        <v>1</v>
      </c>
      <c r="P5" s="4">
        <v>0</v>
      </c>
      <c r="Q5" s="4">
        <v>1</v>
      </c>
      <c r="R5" s="4">
        <v>1</v>
      </c>
      <c r="S5" s="4">
        <v>0</v>
      </c>
      <c r="T5" s="4">
        <v>0</v>
      </c>
      <c r="U5" s="4">
        <v>1</v>
      </c>
      <c r="V5" s="4">
        <v>1</v>
      </c>
      <c r="W5" s="4">
        <v>1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1"/>
    </row>
    <row r="6" spans="1:33" ht="15" x14ac:dyDescent="0.25">
      <c r="B6" s="97">
        <f t="shared" si="0"/>
        <v>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1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1</v>
      </c>
      <c r="P6" s="4">
        <v>0</v>
      </c>
      <c r="Q6" s="4">
        <v>1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1</v>
      </c>
      <c r="AE6" s="1"/>
    </row>
    <row r="7" spans="1:33" ht="15" x14ac:dyDescent="0.25">
      <c r="B7" s="97">
        <f t="shared" si="0"/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1"/>
    </row>
    <row r="8" spans="1:33" ht="15" x14ac:dyDescent="0.25">
      <c r="B8" s="97">
        <f t="shared" si="0"/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1"/>
    </row>
    <row r="9" spans="1:33" ht="15" x14ac:dyDescent="0.25">
      <c r="B9" s="97">
        <f t="shared" si="0"/>
        <v>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1"/>
    </row>
    <row r="10" spans="1:33" ht="15" x14ac:dyDescent="0.25">
      <c r="B10" s="97">
        <f t="shared" si="0"/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1"/>
    </row>
    <row r="11" spans="1:33" ht="15" x14ac:dyDescent="0.25">
      <c r="B11" s="97">
        <f t="shared" si="0"/>
        <v>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/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1"/>
    </row>
    <row r="12" spans="1:33" ht="15" x14ac:dyDescent="0.25">
      <c r="B12" s="97">
        <f t="shared" si="0"/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/>
      <c r="V12" s="4">
        <v>0</v>
      </c>
      <c r="W12" s="4">
        <v>0</v>
      </c>
      <c r="X12" s="4">
        <v>0</v>
      </c>
      <c r="Y12" s="4">
        <v>0</v>
      </c>
      <c r="Z12" s="4"/>
      <c r="AA12" s="4">
        <v>0</v>
      </c>
      <c r="AB12" s="4">
        <v>0</v>
      </c>
      <c r="AC12" s="4">
        <v>0</v>
      </c>
      <c r="AD12" s="4">
        <v>0</v>
      </c>
      <c r="AE12" s="1"/>
    </row>
    <row r="13" spans="1:33" ht="15" x14ac:dyDescent="0.25">
      <c r="B13" s="97">
        <f t="shared" si="0"/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/>
      <c r="V13" s="4">
        <v>0</v>
      </c>
      <c r="W13" s="4">
        <v>0</v>
      </c>
      <c r="X13" s="4">
        <v>0</v>
      </c>
      <c r="Y13" s="4">
        <v>0</v>
      </c>
      <c r="Z13" s="4"/>
      <c r="AA13" s="4">
        <v>0</v>
      </c>
      <c r="AB13" s="4">
        <v>0</v>
      </c>
      <c r="AC13" s="4">
        <v>0</v>
      </c>
      <c r="AD13" s="4">
        <v>0</v>
      </c>
      <c r="AE13" s="1"/>
    </row>
    <row r="14" spans="1:33" ht="15" x14ac:dyDescent="0.25">
      <c r="B14" s="97">
        <f t="shared" si="0"/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/>
      <c r="U14" s="4"/>
      <c r="V14" s="4">
        <v>0</v>
      </c>
      <c r="W14" s="4">
        <v>0</v>
      </c>
      <c r="X14" s="4">
        <v>0</v>
      </c>
      <c r="Y14" s="4">
        <v>0</v>
      </c>
      <c r="Z14" s="4"/>
      <c r="AA14" s="4">
        <v>0</v>
      </c>
      <c r="AB14" s="4">
        <v>0</v>
      </c>
      <c r="AC14" s="4">
        <v>0</v>
      </c>
      <c r="AD14" s="4">
        <v>0</v>
      </c>
      <c r="AE14" s="1"/>
    </row>
    <row r="15" spans="1:33" ht="15" x14ac:dyDescent="0.25">
      <c r="B15" s="97">
        <f t="shared" si="0"/>
        <v>13</v>
      </c>
      <c r="C15" s="4">
        <v>0</v>
      </c>
      <c r="D15" s="4"/>
      <c r="E15" s="4">
        <v>0</v>
      </c>
      <c r="F15" s="4">
        <v>0</v>
      </c>
      <c r="G15" s="4"/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/>
      <c r="U15" s="4"/>
      <c r="V15" s="4">
        <v>0</v>
      </c>
      <c r="W15" s="4">
        <v>0</v>
      </c>
      <c r="X15" s="4">
        <v>0</v>
      </c>
      <c r="Y15" s="4">
        <v>0</v>
      </c>
      <c r="Z15" s="4"/>
      <c r="AA15" s="4">
        <v>0</v>
      </c>
      <c r="AB15" s="4">
        <v>0</v>
      </c>
      <c r="AC15" s="4">
        <v>0</v>
      </c>
      <c r="AD15" s="4">
        <v>0</v>
      </c>
      <c r="AE15" s="1"/>
    </row>
    <row r="16" spans="1:33" ht="15" x14ac:dyDescent="0.25">
      <c r="B16" s="97">
        <f t="shared" si="0"/>
        <v>14</v>
      </c>
      <c r="C16" s="4">
        <v>0</v>
      </c>
      <c r="D16" s="4"/>
      <c r="E16" s="4">
        <v>0</v>
      </c>
      <c r="F16" s="4">
        <v>0</v>
      </c>
      <c r="G16" s="4"/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/>
      <c r="U16" s="4"/>
      <c r="V16" s="4">
        <v>0</v>
      </c>
      <c r="W16" s="4">
        <v>0</v>
      </c>
      <c r="X16" s="4">
        <v>0</v>
      </c>
      <c r="Y16" s="4">
        <v>0</v>
      </c>
      <c r="Z16" s="4"/>
      <c r="AA16" s="4">
        <v>0</v>
      </c>
      <c r="AB16" s="4">
        <v>0</v>
      </c>
      <c r="AC16" s="4">
        <v>0</v>
      </c>
      <c r="AD16" s="4">
        <v>0</v>
      </c>
      <c r="AE16" s="1"/>
    </row>
    <row r="17" spans="2:31" ht="15" x14ac:dyDescent="0.25">
      <c r="B17" s="97">
        <f t="shared" si="0"/>
        <v>15</v>
      </c>
      <c r="C17" s="4">
        <v>0</v>
      </c>
      <c r="D17" s="4"/>
      <c r="E17" s="4">
        <v>0</v>
      </c>
      <c r="F17" s="4">
        <v>0</v>
      </c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/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/>
      <c r="U17" s="4"/>
      <c r="V17" s="4">
        <v>0</v>
      </c>
      <c r="W17" s="4">
        <v>0</v>
      </c>
      <c r="X17" s="4">
        <v>0</v>
      </c>
      <c r="Y17" s="4">
        <v>0</v>
      </c>
      <c r="Z17" s="4"/>
      <c r="AA17" s="4">
        <v>0</v>
      </c>
      <c r="AB17" s="4">
        <v>0</v>
      </c>
      <c r="AC17" s="4">
        <v>0</v>
      </c>
      <c r="AD17" s="4">
        <v>0</v>
      </c>
      <c r="AE17" s="1"/>
    </row>
    <row r="18" spans="2:31" ht="15" x14ac:dyDescent="0.25">
      <c r="B18" s="97">
        <f t="shared" si="0"/>
        <v>16</v>
      </c>
      <c r="C18" s="4">
        <v>0</v>
      </c>
      <c r="D18" s="4"/>
      <c r="E18" s="4">
        <v>0</v>
      </c>
      <c r="F18" s="4"/>
      <c r="G18" s="4"/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/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/>
      <c r="U18" s="4"/>
      <c r="V18" s="4">
        <v>0</v>
      </c>
      <c r="W18" s="4">
        <v>0</v>
      </c>
      <c r="X18" s="4">
        <v>0</v>
      </c>
      <c r="Y18" s="4">
        <v>0</v>
      </c>
      <c r="Z18" s="4"/>
      <c r="AA18" s="4">
        <v>0</v>
      </c>
      <c r="AB18" s="4">
        <v>0</v>
      </c>
      <c r="AC18" s="4">
        <v>0</v>
      </c>
      <c r="AD18" s="4">
        <v>0</v>
      </c>
      <c r="AE18" s="1"/>
    </row>
    <row r="19" spans="2:31" ht="15" x14ac:dyDescent="0.25">
      <c r="B19" s="97">
        <f t="shared" si="0"/>
        <v>17</v>
      </c>
      <c r="C19" s="4">
        <v>0</v>
      </c>
      <c r="D19" s="4"/>
      <c r="E19" s="4">
        <v>0</v>
      </c>
      <c r="F19" s="4"/>
      <c r="G19" s="4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/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/>
      <c r="U19" s="4"/>
      <c r="V19" s="4">
        <v>0</v>
      </c>
      <c r="W19" s="4">
        <v>0</v>
      </c>
      <c r="X19" s="4">
        <v>0</v>
      </c>
      <c r="Y19" s="4">
        <v>0</v>
      </c>
      <c r="Z19" s="4"/>
      <c r="AA19" s="4">
        <v>0</v>
      </c>
      <c r="AB19" s="4">
        <v>0</v>
      </c>
      <c r="AC19" s="4">
        <v>0</v>
      </c>
      <c r="AD19" s="4">
        <v>0</v>
      </c>
      <c r="AE19" s="1"/>
    </row>
    <row r="20" spans="2:31" ht="15" x14ac:dyDescent="0.25">
      <c r="B20" s="97">
        <f t="shared" si="0"/>
        <v>18</v>
      </c>
      <c r="C20" s="4">
        <v>0</v>
      </c>
      <c r="D20" s="4"/>
      <c r="E20" s="4">
        <v>0</v>
      </c>
      <c r="F20" s="4"/>
      <c r="G20" s="4"/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/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/>
      <c r="T20" s="4"/>
      <c r="U20" s="4"/>
      <c r="V20" s="4">
        <v>0</v>
      </c>
      <c r="W20" s="4">
        <v>0</v>
      </c>
      <c r="X20" s="4">
        <v>0</v>
      </c>
      <c r="Y20" s="4">
        <v>0</v>
      </c>
      <c r="Z20" s="4"/>
      <c r="AA20" s="4"/>
      <c r="AB20" s="4">
        <v>0</v>
      </c>
      <c r="AC20" s="4">
        <v>0</v>
      </c>
      <c r="AD20" s="4">
        <v>0</v>
      </c>
      <c r="AE20" s="1"/>
    </row>
    <row r="21" spans="2:31" ht="15" x14ac:dyDescent="0.25">
      <c r="B21" s="97">
        <f t="shared" si="0"/>
        <v>19</v>
      </c>
      <c r="C21" s="4">
        <v>0</v>
      </c>
      <c r="D21" s="4"/>
      <c r="E21" s="4">
        <v>0</v>
      </c>
      <c r="F21" s="4"/>
      <c r="G21" s="4"/>
      <c r="H21" s="4">
        <v>0</v>
      </c>
      <c r="I21" s="4">
        <v>0</v>
      </c>
      <c r="J21" s="4"/>
      <c r="K21" s="4">
        <v>0</v>
      </c>
      <c r="L21" s="4">
        <v>0</v>
      </c>
      <c r="M21" s="4"/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/>
      <c r="T21" s="4"/>
      <c r="U21" s="4"/>
      <c r="V21" s="4">
        <v>0</v>
      </c>
      <c r="W21" s="4">
        <v>0</v>
      </c>
      <c r="X21" s="4">
        <v>0</v>
      </c>
      <c r="Y21" s="4">
        <v>0</v>
      </c>
      <c r="Z21" s="4"/>
      <c r="AA21" s="4"/>
      <c r="AB21" s="4">
        <v>0</v>
      </c>
      <c r="AC21" s="4">
        <v>0</v>
      </c>
      <c r="AD21" s="4">
        <v>0</v>
      </c>
      <c r="AE21" s="1"/>
    </row>
    <row r="22" spans="2:31" ht="15" x14ac:dyDescent="0.25">
      <c r="B22" s="97">
        <f t="shared" si="0"/>
        <v>20</v>
      </c>
      <c r="C22" s="4">
        <v>0</v>
      </c>
      <c r="D22" s="4"/>
      <c r="E22" s="4">
        <v>0</v>
      </c>
      <c r="F22" s="4"/>
      <c r="G22" s="4"/>
      <c r="H22" s="4">
        <v>0</v>
      </c>
      <c r="I22" s="4">
        <v>0</v>
      </c>
      <c r="J22" s="4"/>
      <c r="K22" s="4">
        <v>0</v>
      </c>
      <c r="L22" s="4">
        <v>0</v>
      </c>
      <c r="M22" s="4"/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/>
      <c r="T22" s="4"/>
      <c r="U22" s="4"/>
      <c r="V22" s="4">
        <v>0</v>
      </c>
      <c r="W22" s="4">
        <v>0</v>
      </c>
      <c r="X22" s="4">
        <v>0</v>
      </c>
      <c r="Y22" s="4">
        <v>0</v>
      </c>
      <c r="Z22" s="4"/>
      <c r="AA22" s="4"/>
      <c r="AB22" s="4">
        <v>0</v>
      </c>
      <c r="AC22" s="4">
        <v>0</v>
      </c>
      <c r="AD22" s="4">
        <v>0</v>
      </c>
      <c r="AE22" s="1"/>
    </row>
    <row r="23" spans="2:31" ht="15" x14ac:dyDescent="0.25">
      <c r="B23" s="97">
        <f t="shared" si="0"/>
        <v>21</v>
      </c>
      <c r="C23" s="4">
        <v>0</v>
      </c>
      <c r="D23" s="4"/>
      <c r="E23" s="4">
        <v>0</v>
      </c>
      <c r="F23" s="4"/>
      <c r="G23" s="4"/>
      <c r="H23" s="4">
        <v>0</v>
      </c>
      <c r="I23" s="4">
        <v>0</v>
      </c>
      <c r="J23" s="4"/>
      <c r="K23" s="4">
        <v>0</v>
      </c>
      <c r="L23" s="4">
        <v>0</v>
      </c>
      <c r="M23" s="4"/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/>
      <c r="U23" s="4"/>
      <c r="V23" s="4">
        <v>0</v>
      </c>
      <c r="W23" s="4">
        <v>0</v>
      </c>
      <c r="X23" s="4">
        <v>0</v>
      </c>
      <c r="Y23" s="4">
        <v>0</v>
      </c>
      <c r="Z23" s="4"/>
      <c r="AA23" s="4"/>
      <c r="AB23" s="4">
        <v>0</v>
      </c>
      <c r="AC23" s="4">
        <v>0</v>
      </c>
      <c r="AD23" s="4">
        <v>0</v>
      </c>
      <c r="AE23" s="1"/>
    </row>
    <row r="24" spans="2:31" ht="15" x14ac:dyDescent="0.25">
      <c r="B24" s="97">
        <f t="shared" si="0"/>
        <v>22</v>
      </c>
      <c r="C24" s="4">
        <v>0</v>
      </c>
      <c r="D24" s="4"/>
      <c r="E24" s="4">
        <v>0</v>
      </c>
      <c r="F24" s="4"/>
      <c r="G24" s="4"/>
      <c r="H24" s="4"/>
      <c r="I24" s="4">
        <v>0</v>
      </c>
      <c r="J24" s="4"/>
      <c r="K24" s="4">
        <v>0</v>
      </c>
      <c r="L24" s="4"/>
      <c r="M24" s="4"/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/>
      <c r="T24" s="4"/>
      <c r="U24" s="4"/>
      <c r="V24" s="4">
        <v>0</v>
      </c>
      <c r="W24" s="4">
        <v>0</v>
      </c>
      <c r="X24" s="4">
        <v>0</v>
      </c>
      <c r="Y24" s="4">
        <v>0</v>
      </c>
      <c r="Z24" s="4"/>
      <c r="AA24" s="4"/>
      <c r="AB24" s="4">
        <v>0</v>
      </c>
      <c r="AC24" s="4">
        <v>0</v>
      </c>
      <c r="AD24" s="4">
        <v>0</v>
      </c>
      <c r="AE24" s="1"/>
    </row>
    <row r="25" spans="2:31" ht="15" x14ac:dyDescent="0.25">
      <c r="B25" s="97">
        <f t="shared" si="0"/>
        <v>23</v>
      </c>
      <c r="C25" s="4">
        <v>0</v>
      </c>
      <c r="D25" s="4"/>
      <c r="E25" s="4">
        <v>0</v>
      </c>
      <c r="F25" s="4"/>
      <c r="G25" s="4"/>
      <c r="H25" s="4"/>
      <c r="I25" s="4">
        <v>0</v>
      </c>
      <c r="J25" s="4"/>
      <c r="K25" s="4">
        <v>0</v>
      </c>
      <c r="L25" s="4"/>
      <c r="M25" s="4"/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/>
      <c r="T25" s="4"/>
      <c r="U25" s="4"/>
      <c r="V25" s="4">
        <v>0</v>
      </c>
      <c r="W25" s="4">
        <v>0</v>
      </c>
      <c r="X25" s="4">
        <v>0</v>
      </c>
      <c r="Y25" s="4">
        <v>0</v>
      </c>
      <c r="Z25" s="4"/>
      <c r="AA25" s="4"/>
      <c r="AB25" s="4">
        <v>0</v>
      </c>
      <c r="AC25" s="4">
        <v>0</v>
      </c>
      <c r="AD25" s="4">
        <v>0</v>
      </c>
      <c r="AE25" s="1"/>
    </row>
    <row r="26" spans="2:31" ht="15" x14ac:dyDescent="0.25">
      <c r="B26" s="97">
        <f t="shared" si="0"/>
        <v>24</v>
      </c>
      <c r="C26" s="4"/>
      <c r="D26" s="4"/>
      <c r="E26" s="4">
        <v>0</v>
      </c>
      <c r="F26" s="4"/>
      <c r="G26" s="4"/>
      <c r="H26" s="4"/>
      <c r="I26" s="4">
        <v>0</v>
      </c>
      <c r="J26" s="4"/>
      <c r="K26" s="4">
        <v>0</v>
      </c>
      <c r="L26" s="4"/>
      <c r="M26" s="4"/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/>
      <c r="T26" s="4"/>
      <c r="U26" s="4"/>
      <c r="V26" s="4">
        <v>0</v>
      </c>
      <c r="W26" s="4">
        <v>0</v>
      </c>
      <c r="X26" s="4">
        <v>0</v>
      </c>
      <c r="Y26" s="4">
        <v>0</v>
      </c>
      <c r="Z26" s="4"/>
      <c r="AA26" s="4"/>
      <c r="AB26" s="4">
        <v>0</v>
      </c>
      <c r="AC26" s="4">
        <v>0</v>
      </c>
      <c r="AD26" s="4">
        <v>0</v>
      </c>
      <c r="AE26" s="1"/>
    </row>
    <row r="27" spans="2:31" ht="15" x14ac:dyDescent="0.25">
      <c r="B27" s="97">
        <v>25</v>
      </c>
      <c r="C27" s="4"/>
      <c r="D27" s="4"/>
      <c r="E27" s="4">
        <v>0</v>
      </c>
      <c r="F27" s="4"/>
      <c r="G27" s="4"/>
      <c r="H27" s="4"/>
      <c r="I27" s="4">
        <v>0</v>
      </c>
      <c r="J27" s="4"/>
      <c r="K27" s="4">
        <v>0</v>
      </c>
      <c r="L27" s="4"/>
      <c r="M27" s="4"/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/>
      <c r="T27" s="4"/>
      <c r="U27" s="4"/>
      <c r="V27" s="4">
        <v>0</v>
      </c>
      <c r="W27" s="4">
        <v>0</v>
      </c>
      <c r="X27" s="4">
        <v>0</v>
      </c>
      <c r="Y27" s="4">
        <v>0</v>
      </c>
      <c r="Z27" s="4"/>
      <c r="AA27" s="4"/>
      <c r="AB27" s="4">
        <v>0</v>
      </c>
      <c r="AC27" s="4">
        <v>0</v>
      </c>
      <c r="AD27" s="4">
        <v>0</v>
      </c>
      <c r="AE27" s="1"/>
    </row>
    <row r="28" spans="2:31" ht="15" x14ac:dyDescent="0.25">
      <c r="B28" s="97">
        <v>26</v>
      </c>
      <c r="C28" s="4"/>
      <c r="D28" s="4"/>
      <c r="E28" s="4">
        <v>0</v>
      </c>
      <c r="F28" s="4"/>
      <c r="G28" s="4"/>
      <c r="H28" s="4"/>
      <c r="I28" s="4">
        <v>0</v>
      </c>
      <c r="J28" s="4"/>
      <c r="K28" s="4">
        <v>0</v>
      </c>
      <c r="L28" s="4"/>
      <c r="M28" s="4"/>
      <c r="N28" s="4">
        <v>0</v>
      </c>
      <c r="O28" s="4">
        <v>0</v>
      </c>
      <c r="P28" s="4">
        <v>0</v>
      </c>
      <c r="Q28" s="4">
        <v>0</v>
      </c>
      <c r="R28" s="4"/>
      <c r="S28" s="4"/>
      <c r="T28" s="4"/>
      <c r="U28" s="4"/>
      <c r="V28" s="4">
        <v>0</v>
      </c>
      <c r="W28" s="4">
        <v>0</v>
      </c>
      <c r="X28" s="4">
        <v>0</v>
      </c>
      <c r="Y28" s="4"/>
      <c r="Z28" s="4"/>
      <c r="AA28" s="4"/>
      <c r="AB28" s="4">
        <v>0</v>
      </c>
      <c r="AC28" s="4">
        <v>0</v>
      </c>
      <c r="AD28" s="4">
        <v>0</v>
      </c>
      <c r="AE28" s="1"/>
    </row>
    <row r="29" spans="2:31" ht="15" x14ac:dyDescent="0.25">
      <c r="B29" s="97">
        <v>27</v>
      </c>
      <c r="C29" s="4"/>
      <c r="D29" s="4"/>
      <c r="E29" s="4">
        <v>0</v>
      </c>
      <c r="F29" s="4"/>
      <c r="G29" s="4"/>
      <c r="H29" s="4"/>
      <c r="I29" s="4">
        <v>0</v>
      </c>
      <c r="J29" s="4"/>
      <c r="K29" s="4">
        <v>0</v>
      </c>
      <c r="L29" s="4"/>
      <c r="M29" s="4"/>
      <c r="N29" s="4">
        <v>0</v>
      </c>
      <c r="O29" s="4">
        <v>0</v>
      </c>
      <c r="P29" s="4">
        <v>0</v>
      </c>
      <c r="Q29" s="4">
        <v>0</v>
      </c>
      <c r="R29" s="4"/>
      <c r="S29" s="4"/>
      <c r="T29" s="4"/>
      <c r="U29" s="4"/>
      <c r="V29" s="4">
        <v>0</v>
      </c>
      <c r="W29" s="4">
        <v>0</v>
      </c>
      <c r="X29" s="4">
        <v>0</v>
      </c>
      <c r="Y29" s="4"/>
      <c r="Z29" s="4"/>
      <c r="AA29" s="4"/>
      <c r="AB29" s="4">
        <v>0</v>
      </c>
      <c r="AC29" s="4">
        <v>0</v>
      </c>
      <c r="AD29" s="4">
        <v>0</v>
      </c>
      <c r="AE29" s="1"/>
    </row>
    <row r="30" spans="2:31" ht="15" x14ac:dyDescent="0.25">
      <c r="B30" s="97">
        <v>28</v>
      </c>
      <c r="C30" s="4"/>
      <c r="D30" s="4"/>
      <c r="E30" s="4">
        <v>0</v>
      </c>
      <c r="F30" s="4"/>
      <c r="G30" s="4"/>
      <c r="H30" s="4"/>
      <c r="I30" s="4">
        <v>0</v>
      </c>
      <c r="J30" s="4"/>
      <c r="K30" s="4">
        <v>0</v>
      </c>
      <c r="L30" s="4"/>
      <c r="M30" s="4"/>
      <c r="N30" s="4">
        <v>0</v>
      </c>
      <c r="O30" s="4">
        <v>0</v>
      </c>
      <c r="P30" s="4">
        <v>0</v>
      </c>
      <c r="Q30" s="4">
        <v>0</v>
      </c>
      <c r="R30" s="4"/>
      <c r="S30" s="4"/>
      <c r="T30" s="4"/>
      <c r="U30" s="4"/>
      <c r="V30" s="4">
        <v>0</v>
      </c>
      <c r="W30" s="4">
        <v>0</v>
      </c>
      <c r="X30" s="4">
        <v>0</v>
      </c>
      <c r="Y30" s="4"/>
      <c r="Z30" s="4"/>
      <c r="AA30" s="4"/>
      <c r="AB30" s="4">
        <v>0</v>
      </c>
      <c r="AC30" s="4"/>
      <c r="AD30" s="4">
        <v>0</v>
      </c>
      <c r="AE30" s="1"/>
    </row>
    <row r="31" spans="2:31" ht="15" x14ac:dyDescent="0.25">
      <c r="B31" s="97">
        <v>29</v>
      </c>
      <c r="C31" s="4"/>
      <c r="D31" s="4"/>
      <c r="E31" s="4">
        <v>0</v>
      </c>
      <c r="F31" s="4"/>
      <c r="G31" s="4"/>
      <c r="H31" s="4"/>
      <c r="I31" s="4"/>
      <c r="J31" s="4"/>
      <c r="K31" s="4"/>
      <c r="L31" s="4"/>
      <c r="M31" s="4"/>
      <c r="N31" s="4">
        <v>0</v>
      </c>
      <c r="O31" s="4">
        <v>0</v>
      </c>
      <c r="P31" s="4">
        <v>0</v>
      </c>
      <c r="Q31" s="4">
        <v>0</v>
      </c>
      <c r="R31" s="4"/>
      <c r="S31" s="4"/>
      <c r="T31" s="4"/>
      <c r="U31" s="4"/>
      <c r="V31" s="4">
        <v>0</v>
      </c>
      <c r="W31" s="4">
        <v>0</v>
      </c>
      <c r="X31" s="4">
        <v>0</v>
      </c>
      <c r="Y31" s="4"/>
      <c r="Z31" s="4"/>
      <c r="AA31" s="4"/>
      <c r="AB31" s="4">
        <v>0</v>
      </c>
      <c r="AC31" s="4"/>
      <c r="AD31" s="4">
        <v>0</v>
      </c>
      <c r="AE31" s="1"/>
    </row>
    <row r="32" spans="2:31" ht="15" x14ac:dyDescent="0.25">
      <c r="B32" s="97">
        <v>30</v>
      </c>
      <c r="C32" s="4"/>
      <c r="D32" s="4"/>
      <c r="E32" s="4">
        <v>0</v>
      </c>
      <c r="F32" s="4"/>
      <c r="G32" s="4"/>
      <c r="H32" s="4"/>
      <c r="I32" s="4"/>
      <c r="J32" s="4"/>
      <c r="K32" s="4"/>
      <c r="L32" s="4"/>
      <c r="M32" s="4"/>
      <c r="N32" s="4">
        <v>0</v>
      </c>
      <c r="O32" s="4"/>
      <c r="P32" s="4">
        <v>0</v>
      </c>
      <c r="Q32" s="4">
        <v>0</v>
      </c>
      <c r="R32" s="4"/>
      <c r="S32" s="4"/>
      <c r="T32" s="4"/>
      <c r="U32" s="4"/>
      <c r="V32" s="4">
        <v>0</v>
      </c>
      <c r="W32" s="4">
        <v>0</v>
      </c>
      <c r="X32" s="4">
        <v>0</v>
      </c>
      <c r="Y32" s="4"/>
      <c r="Z32" s="4"/>
      <c r="AA32" s="4"/>
      <c r="AB32" s="4">
        <v>0</v>
      </c>
      <c r="AC32" s="4"/>
      <c r="AD32" s="4">
        <v>0</v>
      </c>
      <c r="AE32" s="1"/>
    </row>
    <row r="33" spans="2:31" ht="15" x14ac:dyDescent="0.25">
      <c r="B33" s="97">
        <v>31</v>
      </c>
      <c r="C33" s="4"/>
      <c r="D33" s="4"/>
      <c r="E33" s="4">
        <v>0</v>
      </c>
      <c r="F33" s="4"/>
      <c r="G33" s="4"/>
      <c r="H33" s="4"/>
      <c r="I33" s="4"/>
      <c r="J33" s="4"/>
      <c r="K33" s="4"/>
      <c r="L33" s="4"/>
      <c r="M33" s="4"/>
      <c r="N33" s="4">
        <v>0</v>
      </c>
      <c r="O33" s="4"/>
      <c r="P33" s="4">
        <v>0</v>
      </c>
      <c r="Q33" s="4">
        <v>0</v>
      </c>
      <c r="R33" s="4"/>
      <c r="S33" s="4"/>
      <c r="T33" s="4"/>
      <c r="U33" s="4"/>
      <c r="V33" s="4"/>
      <c r="W33" s="4">
        <v>0</v>
      </c>
      <c r="X33" s="4">
        <v>0</v>
      </c>
      <c r="Y33" s="4"/>
      <c r="Z33" s="4"/>
      <c r="AA33" s="4"/>
      <c r="AB33" s="4">
        <v>0</v>
      </c>
      <c r="AC33" s="4"/>
      <c r="AD33" s="4">
        <v>0</v>
      </c>
      <c r="AE33" s="1"/>
    </row>
    <row r="34" spans="2:31" ht="15" x14ac:dyDescent="0.25">
      <c r="B34" s="97">
        <v>32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0</v>
      </c>
      <c r="O34" s="4"/>
      <c r="P34" s="4">
        <v>0</v>
      </c>
      <c r="Q34" s="4">
        <v>0</v>
      </c>
      <c r="R34" s="4"/>
      <c r="S34" s="4"/>
      <c r="T34" s="4"/>
      <c r="U34" s="4"/>
      <c r="V34" s="4"/>
      <c r="W34" s="4">
        <v>0</v>
      </c>
      <c r="X34" s="4">
        <v>0</v>
      </c>
      <c r="Y34" s="4"/>
      <c r="Z34" s="4"/>
      <c r="AA34" s="4"/>
      <c r="AB34" s="4">
        <v>0</v>
      </c>
      <c r="AC34" s="4"/>
      <c r="AD34" s="4">
        <v>0</v>
      </c>
      <c r="AE34" s="1"/>
    </row>
    <row r="35" spans="2:31" ht="15" x14ac:dyDescent="0.25">
      <c r="B35" s="97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0</v>
      </c>
      <c r="O35" s="4"/>
      <c r="P35" s="4">
        <v>0</v>
      </c>
      <c r="Q35" s="4">
        <v>0</v>
      </c>
      <c r="R35" s="4"/>
      <c r="S35" s="4"/>
      <c r="T35" s="4"/>
      <c r="U35" s="4"/>
      <c r="V35" s="4"/>
      <c r="W35" s="4">
        <v>0</v>
      </c>
      <c r="X35" s="4">
        <v>0</v>
      </c>
      <c r="Y35" s="4"/>
      <c r="Z35" s="4"/>
      <c r="AA35" s="4"/>
      <c r="AB35" s="4">
        <v>0</v>
      </c>
      <c r="AC35" s="4"/>
      <c r="AD35" s="4">
        <v>0</v>
      </c>
      <c r="AE35" s="1"/>
    </row>
    <row r="36" spans="2:31" ht="15" x14ac:dyDescent="0.25">
      <c r="B36" s="97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0</v>
      </c>
      <c r="O36" s="4"/>
      <c r="P36" s="4">
        <v>0</v>
      </c>
      <c r="Q36" s="4">
        <v>0</v>
      </c>
      <c r="R36" s="4"/>
      <c r="S36" s="4"/>
      <c r="T36" s="4"/>
      <c r="U36" s="4"/>
      <c r="V36" s="4"/>
      <c r="W36" s="4">
        <v>0</v>
      </c>
      <c r="X36" s="4">
        <v>0</v>
      </c>
      <c r="Y36" s="4"/>
      <c r="Z36" s="4"/>
      <c r="AA36" s="4"/>
      <c r="AB36" s="4"/>
      <c r="AC36" s="4"/>
      <c r="AD36" s="4">
        <v>0</v>
      </c>
      <c r="AE36" s="1"/>
    </row>
    <row r="37" spans="2:31" ht="15" x14ac:dyDescent="0.25">
      <c r="B37" s="97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0</v>
      </c>
      <c r="O37" s="4"/>
      <c r="P37" s="4">
        <v>0</v>
      </c>
      <c r="Q37" s="4">
        <v>0</v>
      </c>
      <c r="R37" s="4"/>
      <c r="S37" s="4"/>
      <c r="T37" s="4"/>
      <c r="U37" s="4"/>
      <c r="V37" s="4"/>
      <c r="W37" s="4">
        <v>0</v>
      </c>
      <c r="X37" s="4">
        <v>0</v>
      </c>
      <c r="Y37" s="4"/>
      <c r="Z37" s="4"/>
      <c r="AA37" s="4"/>
      <c r="AB37" s="4"/>
      <c r="AC37" s="4"/>
      <c r="AD37" s="4">
        <v>0</v>
      </c>
      <c r="AE37" s="1"/>
    </row>
    <row r="38" spans="2:31" ht="15" x14ac:dyDescent="0.25">
      <c r="B38" s="97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0</v>
      </c>
      <c r="Q38" s="4">
        <v>0</v>
      </c>
      <c r="R38" s="4"/>
      <c r="S38" s="4"/>
      <c r="T38" s="4"/>
      <c r="U38" s="4"/>
      <c r="V38" s="4"/>
      <c r="W38" s="4">
        <v>0</v>
      </c>
      <c r="X38" s="4">
        <v>0</v>
      </c>
      <c r="Y38" s="4"/>
      <c r="Z38" s="4"/>
      <c r="AA38" s="4"/>
      <c r="AB38" s="4"/>
      <c r="AC38" s="4"/>
      <c r="AD38" s="4">
        <v>0</v>
      </c>
      <c r="AE38" s="1"/>
    </row>
    <row r="39" spans="2:31" ht="15" x14ac:dyDescent="0.25">
      <c r="B39" s="97">
        <v>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v>0</v>
      </c>
      <c r="R39" s="4"/>
      <c r="S39" s="4"/>
      <c r="T39" s="4"/>
      <c r="U39" s="4"/>
      <c r="V39" s="4"/>
      <c r="W39" s="4">
        <v>0</v>
      </c>
      <c r="X39" s="4">
        <v>0</v>
      </c>
      <c r="Y39" s="4"/>
      <c r="Z39" s="4"/>
      <c r="AA39" s="4"/>
      <c r="AB39" s="4"/>
      <c r="AC39" s="4"/>
      <c r="AD39" s="4">
        <v>0</v>
      </c>
      <c r="AE39" s="1"/>
    </row>
    <row r="40" spans="2:31" ht="15" x14ac:dyDescent="0.25">
      <c r="B40" s="97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0</v>
      </c>
      <c r="X40" s="4">
        <v>0</v>
      </c>
      <c r="Y40" s="4"/>
      <c r="Z40" s="4"/>
      <c r="AA40" s="4"/>
      <c r="AB40" s="4"/>
      <c r="AC40" s="4"/>
      <c r="AD40" s="4">
        <v>0</v>
      </c>
      <c r="AE40" s="1"/>
    </row>
    <row r="41" spans="2:31" ht="15" x14ac:dyDescent="0.25">
      <c r="B41" s="97">
        <f t="shared" si="0"/>
        <v>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>
        <v>0</v>
      </c>
      <c r="AE41" s="1"/>
    </row>
    <row r="42" spans="2:31" ht="15" x14ac:dyDescent="0.25">
      <c r="B42" s="97">
        <f t="shared" si="0"/>
        <v>40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>
        <v>0</v>
      </c>
      <c r="AE42" s="1"/>
    </row>
    <row r="43" spans="2:31" ht="15" x14ac:dyDescent="0.25">
      <c r="B43" s="97">
        <f t="shared" si="0"/>
        <v>41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"/>
    </row>
    <row r="44" spans="2:31" ht="15" x14ac:dyDescent="0.25">
      <c r="B44" s="97">
        <f t="shared" si="0"/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"/>
    </row>
    <row r="45" spans="2:31" ht="15" x14ac:dyDescent="0.25">
      <c r="B45" s="97">
        <v>43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/>
    </row>
    <row r="46" spans="2:31" ht="15" x14ac:dyDescent="0.25">
      <c r="B46" s="97">
        <v>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"/>
    </row>
    <row r="47" spans="2:31" ht="15" x14ac:dyDescent="0.25">
      <c r="B47" s="97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1"/>
    </row>
    <row r="48" spans="2:31" ht="15" x14ac:dyDescent="0.25">
      <c r="B48" s="97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"/>
    </row>
    <row r="49" spans="2:37" ht="15" x14ac:dyDescent="0.25">
      <c r="B49" s="97">
        <v>47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"/>
    </row>
    <row r="50" spans="2:37" ht="15" x14ac:dyDescent="0.25">
      <c r="B50" s="97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"/>
    </row>
    <row r="51" spans="2:37" ht="15" x14ac:dyDescent="0.25">
      <c r="B51" s="97">
        <v>49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1"/>
    </row>
    <row r="52" spans="2:37" ht="15" x14ac:dyDescent="0.25">
      <c r="B52" s="97">
        <f t="shared" si="0"/>
        <v>50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"/>
    </row>
    <row r="53" spans="2:37" ht="15" x14ac:dyDescent="0.25">
      <c r="B53" s="97">
        <f t="shared" si="0"/>
        <v>51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1"/>
    </row>
    <row r="54" spans="2:37" ht="15" x14ac:dyDescent="0.25">
      <c r="B54" s="97">
        <f t="shared" si="0"/>
        <v>52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1"/>
    </row>
    <row r="55" spans="2:37" ht="15" x14ac:dyDescent="0.25">
      <c r="B55" s="97">
        <f t="shared" si="0"/>
        <v>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1"/>
    </row>
    <row r="56" spans="2:37" ht="15.75" x14ac:dyDescent="0.25">
      <c r="B56" s="97">
        <f t="shared" si="0"/>
        <v>54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"/>
      <c r="AH56" s="28" t="s">
        <v>2</v>
      </c>
      <c r="AI56" s="29"/>
      <c r="AJ56" s="29"/>
      <c r="AK56" s="90"/>
    </row>
    <row r="57" spans="2:37" ht="15" x14ac:dyDescent="0.25">
      <c r="B57" s="97">
        <f t="shared" si="0"/>
        <v>55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1"/>
      <c r="AH57" s="79" t="s">
        <v>3</v>
      </c>
      <c r="AI57" s="80">
        <f>COUNT(C60:AD60)</f>
        <v>28</v>
      </c>
      <c r="AJ57" s="29"/>
      <c r="AK57" s="91"/>
    </row>
    <row r="58" spans="2:37" ht="15" x14ac:dyDescent="0.25">
      <c r="B58" s="97">
        <f t="shared" si="0"/>
        <v>56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1"/>
      <c r="AF58" s="1"/>
      <c r="AG58" s="1"/>
      <c r="AH58" s="79" t="s">
        <v>36</v>
      </c>
      <c r="AI58" s="99">
        <f>AE61</f>
        <v>678</v>
      </c>
      <c r="AJ58" s="29"/>
      <c r="AK58" s="91"/>
    </row>
    <row r="59" spans="2:37" ht="15" x14ac:dyDescent="0.25">
      <c r="B59" s="97">
        <f>1+B58</f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1"/>
      <c r="AG59" s="5"/>
      <c r="AH59" s="79" t="s">
        <v>4</v>
      </c>
      <c r="AI59" s="80">
        <f>SUM(C60:AD60)</f>
        <v>74</v>
      </c>
      <c r="AJ59" s="29"/>
      <c r="AK59" s="91"/>
    </row>
    <row r="60" spans="2:37" ht="15" x14ac:dyDescent="0.25">
      <c r="B60" s="92" t="s">
        <v>0</v>
      </c>
      <c r="C60" s="82">
        <f t="shared" ref="C60:AD60" si="1">SUM(C3:C59)</f>
        <v>2</v>
      </c>
      <c r="D60" s="82">
        <f t="shared" si="1"/>
        <v>0</v>
      </c>
      <c r="E60" s="82">
        <f t="shared" si="1"/>
        <v>2</v>
      </c>
      <c r="F60" s="82">
        <f t="shared" si="1"/>
        <v>0</v>
      </c>
      <c r="G60" s="82">
        <f t="shared" si="1"/>
        <v>0</v>
      </c>
      <c r="H60" s="82">
        <f t="shared" si="1"/>
        <v>4</v>
      </c>
      <c r="I60" s="82">
        <f t="shared" si="1"/>
        <v>6</v>
      </c>
      <c r="J60" s="82">
        <f t="shared" si="1"/>
        <v>3</v>
      </c>
      <c r="K60" s="82">
        <f t="shared" si="1"/>
        <v>1</v>
      </c>
      <c r="L60" s="82">
        <f t="shared" si="1"/>
        <v>9</v>
      </c>
      <c r="M60" s="82">
        <f t="shared" si="1"/>
        <v>2</v>
      </c>
      <c r="N60" s="82">
        <f t="shared" si="1"/>
        <v>2</v>
      </c>
      <c r="O60" s="82">
        <f t="shared" si="1"/>
        <v>4</v>
      </c>
      <c r="P60" s="82">
        <f t="shared" si="1"/>
        <v>1</v>
      </c>
      <c r="Q60" s="82">
        <f t="shared" si="1"/>
        <v>5</v>
      </c>
      <c r="R60" s="82">
        <f t="shared" si="1"/>
        <v>3</v>
      </c>
      <c r="S60" s="82">
        <f t="shared" si="1"/>
        <v>2</v>
      </c>
      <c r="T60" s="82">
        <f t="shared" si="1"/>
        <v>0</v>
      </c>
      <c r="U60" s="82">
        <f t="shared" si="1"/>
        <v>4</v>
      </c>
      <c r="V60" s="82">
        <f t="shared" si="1"/>
        <v>3</v>
      </c>
      <c r="W60" s="82">
        <f t="shared" si="1"/>
        <v>3</v>
      </c>
      <c r="X60" s="82">
        <f t="shared" si="1"/>
        <v>7</v>
      </c>
      <c r="Y60" s="82">
        <f t="shared" si="1"/>
        <v>0</v>
      </c>
      <c r="Z60" s="82">
        <f t="shared" si="1"/>
        <v>0</v>
      </c>
      <c r="AA60" s="82">
        <f t="shared" si="1"/>
        <v>1</v>
      </c>
      <c r="AB60" s="82">
        <f t="shared" si="1"/>
        <v>1</v>
      </c>
      <c r="AC60" s="82">
        <f t="shared" si="1"/>
        <v>4</v>
      </c>
      <c r="AD60" s="82">
        <f t="shared" si="1"/>
        <v>5</v>
      </c>
      <c r="AE60" s="87">
        <f>SUM(C60:AD60)</f>
        <v>74</v>
      </c>
      <c r="AF60" s="7"/>
      <c r="AG60" s="8"/>
      <c r="AH60" s="79" t="s">
        <v>5</v>
      </c>
      <c r="AI60" s="81">
        <f>AVERAGE(C60:AD60)</f>
        <v>2.6428571428571428</v>
      </c>
      <c r="AJ60" s="29"/>
      <c r="AK60" s="91"/>
    </row>
    <row r="61" spans="2:37" ht="15" x14ac:dyDescent="0.25">
      <c r="B61" s="92" t="s">
        <v>31</v>
      </c>
      <c r="C61" s="82">
        <f>COUNT(C3:C59)</f>
        <v>23</v>
      </c>
      <c r="D61" s="82">
        <f t="shared" ref="D61:AD61" si="2">COUNT(D3:D59)</f>
        <v>12</v>
      </c>
      <c r="E61" s="82">
        <f t="shared" si="2"/>
        <v>31</v>
      </c>
      <c r="F61" s="82">
        <f t="shared" si="2"/>
        <v>15</v>
      </c>
      <c r="G61" s="82">
        <f t="shared" si="2"/>
        <v>12</v>
      </c>
      <c r="H61" s="82">
        <f t="shared" si="2"/>
        <v>21</v>
      </c>
      <c r="I61" s="82">
        <f t="shared" si="2"/>
        <v>28</v>
      </c>
      <c r="J61" s="82">
        <f t="shared" si="2"/>
        <v>18</v>
      </c>
      <c r="K61" s="82">
        <f t="shared" si="2"/>
        <v>28</v>
      </c>
      <c r="L61" s="82">
        <f t="shared" si="2"/>
        <v>21</v>
      </c>
      <c r="M61" s="82">
        <f t="shared" si="2"/>
        <v>14</v>
      </c>
      <c r="N61" s="82">
        <f t="shared" si="2"/>
        <v>35</v>
      </c>
      <c r="O61" s="82">
        <f t="shared" si="2"/>
        <v>29</v>
      </c>
      <c r="P61" s="82">
        <f t="shared" si="2"/>
        <v>36</v>
      </c>
      <c r="Q61" s="82">
        <f t="shared" si="2"/>
        <v>37</v>
      </c>
      <c r="R61" s="82">
        <f t="shared" si="2"/>
        <v>25</v>
      </c>
      <c r="S61" s="82">
        <f t="shared" si="2"/>
        <v>17</v>
      </c>
      <c r="T61" s="82">
        <f t="shared" si="2"/>
        <v>11</v>
      </c>
      <c r="U61" s="82">
        <f t="shared" si="2"/>
        <v>8</v>
      </c>
      <c r="V61" s="82">
        <f t="shared" si="2"/>
        <v>30</v>
      </c>
      <c r="W61" s="82">
        <f t="shared" si="2"/>
        <v>38</v>
      </c>
      <c r="X61" s="82">
        <f t="shared" si="2"/>
        <v>38</v>
      </c>
      <c r="Y61" s="82">
        <f t="shared" si="2"/>
        <v>25</v>
      </c>
      <c r="Z61" s="82">
        <f t="shared" si="2"/>
        <v>9</v>
      </c>
      <c r="AA61" s="82">
        <f t="shared" si="2"/>
        <v>17</v>
      </c>
      <c r="AB61" s="82">
        <f t="shared" si="2"/>
        <v>33</v>
      </c>
      <c r="AC61" s="82">
        <f t="shared" si="2"/>
        <v>27</v>
      </c>
      <c r="AD61" s="82">
        <f t="shared" si="2"/>
        <v>40</v>
      </c>
      <c r="AE61" s="87">
        <f>SUM(C61:AD61)</f>
        <v>678</v>
      </c>
      <c r="AF61" s="7"/>
      <c r="AG61" s="8"/>
      <c r="AH61" s="79" t="s">
        <v>35</v>
      </c>
      <c r="AI61" s="81">
        <f>AVERAGE(C64:AD64)</f>
        <v>2.4898155383254267E-2</v>
      </c>
      <c r="AJ61" s="29"/>
      <c r="AK61" s="91"/>
    </row>
    <row r="62" spans="2:37" ht="17.25" x14ac:dyDescent="0.25">
      <c r="B62" s="92" t="s">
        <v>32</v>
      </c>
      <c r="C62" s="82">
        <f>C61*4.52</f>
        <v>103.96</v>
      </c>
      <c r="D62" s="82">
        <f t="shared" ref="D62:AD62" si="3">D61*4.52</f>
        <v>54.239999999999995</v>
      </c>
      <c r="E62" s="82">
        <f t="shared" si="3"/>
        <v>140.11999999999998</v>
      </c>
      <c r="F62" s="82">
        <f t="shared" si="3"/>
        <v>67.8</v>
      </c>
      <c r="G62" s="82">
        <f t="shared" si="3"/>
        <v>54.239999999999995</v>
      </c>
      <c r="H62" s="82">
        <f t="shared" si="3"/>
        <v>94.919999999999987</v>
      </c>
      <c r="I62" s="82">
        <f t="shared" si="3"/>
        <v>126.55999999999999</v>
      </c>
      <c r="J62" s="82">
        <f t="shared" si="3"/>
        <v>81.359999999999985</v>
      </c>
      <c r="K62" s="82">
        <f t="shared" si="3"/>
        <v>126.55999999999999</v>
      </c>
      <c r="L62" s="82">
        <f t="shared" si="3"/>
        <v>94.919999999999987</v>
      </c>
      <c r="M62" s="82">
        <f t="shared" si="3"/>
        <v>63.279999999999994</v>
      </c>
      <c r="N62" s="82">
        <f t="shared" si="3"/>
        <v>158.19999999999999</v>
      </c>
      <c r="O62" s="82">
        <f t="shared" si="3"/>
        <v>131.07999999999998</v>
      </c>
      <c r="P62" s="82">
        <f t="shared" si="3"/>
        <v>162.71999999999997</v>
      </c>
      <c r="Q62" s="82">
        <f t="shared" si="3"/>
        <v>167.23999999999998</v>
      </c>
      <c r="R62" s="82">
        <f t="shared" si="3"/>
        <v>112.99999999999999</v>
      </c>
      <c r="S62" s="82">
        <f t="shared" si="3"/>
        <v>76.839999999999989</v>
      </c>
      <c r="T62" s="82">
        <f t="shared" si="3"/>
        <v>49.72</v>
      </c>
      <c r="U62" s="82">
        <f t="shared" si="3"/>
        <v>36.159999999999997</v>
      </c>
      <c r="V62" s="82">
        <f t="shared" si="3"/>
        <v>135.6</v>
      </c>
      <c r="W62" s="82">
        <f t="shared" si="3"/>
        <v>171.76</v>
      </c>
      <c r="X62" s="82">
        <f t="shared" si="3"/>
        <v>171.76</v>
      </c>
      <c r="Y62" s="82">
        <f t="shared" si="3"/>
        <v>112.99999999999999</v>
      </c>
      <c r="Z62" s="82">
        <f t="shared" si="3"/>
        <v>40.679999999999993</v>
      </c>
      <c r="AA62" s="82">
        <f t="shared" si="3"/>
        <v>76.839999999999989</v>
      </c>
      <c r="AB62" s="82">
        <f t="shared" si="3"/>
        <v>149.16</v>
      </c>
      <c r="AC62" s="82">
        <f t="shared" si="3"/>
        <v>122.03999999999999</v>
      </c>
      <c r="AD62" s="82">
        <f t="shared" si="3"/>
        <v>180.79999999999998</v>
      </c>
      <c r="AE62" s="82">
        <f>AE61*4.52</f>
        <v>3064.5599999999995</v>
      </c>
      <c r="AF62" s="7"/>
      <c r="AG62" s="8"/>
      <c r="AH62" s="79" t="s">
        <v>6</v>
      </c>
      <c r="AI62" s="100">
        <f>VAR(C64:AD64)</f>
        <v>6.9633903314376847E-4</v>
      </c>
      <c r="AJ62" s="29"/>
      <c r="AK62" s="91"/>
    </row>
    <row r="63" spans="2:37" ht="15" x14ac:dyDescent="0.25">
      <c r="B63" s="92" t="s">
        <v>37</v>
      </c>
      <c r="C63" s="82">
        <f>C62/1000000</f>
        <v>1.0395999999999999E-4</v>
      </c>
      <c r="D63" s="82">
        <f t="shared" ref="D63:AE63" si="4">D62/1000000</f>
        <v>5.4239999999999996E-5</v>
      </c>
      <c r="E63" s="82">
        <f t="shared" si="4"/>
        <v>1.4011999999999998E-4</v>
      </c>
      <c r="F63" s="82">
        <f t="shared" si="4"/>
        <v>6.7799999999999995E-5</v>
      </c>
      <c r="G63" s="82">
        <f t="shared" si="4"/>
        <v>5.4239999999999996E-5</v>
      </c>
      <c r="H63" s="82">
        <f t="shared" si="4"/>
        <v>9.4919999999999992E-5</v>
      </c>
      <c r="I63" s="82">
        <f t="shared" si="4"/>
        <v>1.2655999999999998E-4</v>
      </c>
      <c r="J63" s="82">
        <f t="shared" si="4"/>
        <v>8.135999999999998E-5</v>
      </c>
      <c r="K63" s="82">
        <f t="shared" si="4"/>
        <v>1.2655999999999998E-4</v>
      </c>
      <c r="L63" s="82">
        <f t="shared" si="4"/>
        <v>9.4919999999999992E-5</v>
      </c>
      <c r="M63" s="82">
        <f t="shared" si="4"/>
        <v>6.327999999999999E-5</v>
      </c>
      <c r="N63" s="82">
        <f t="shared" si="4"/>
        <v>1.582E-4</v>
      </c>
      <c r="O63" s="82">
        <f t="shared" si="4"/>
        <v>1.3107999999999997E-4</v>
      </c>
      <c r="P63" s="82">
        <f t="shared" si="4"/>
        <v>1.6271999999999996E-4</v>
      </c>
      <c r="Q63" s="82">
        <f t="shared" si="4"/>
        <v>1.6723999999999998E-4</v>
      </c>
      <c r="R63" s="82">
        <f t="shared" si="4"/>
        <v>1.1299999999999998E-4</v>
      </c>
      <c r="S63" s="82">
        <f t="shared" si="4"/>
        <v>7.6839999999999989E-5</v>
      </c>
      <c r="T63" s="82">
        <f t="shared" si="4"/>
        <v>4.9719999999999998E-5</v>
      </c>
      <c r="U63" s="82">
        <f t="shared" si="4"/>
        <v>3.6159999999999999E-5</v>
      </c>
      <c r="V63" s="82">
        <f t="shared" si="4"/>
        <v>1.3559999999999999E-4</v>
      </c>
      <c r="W63" s="82">
        <f t="shared" si="4"/>
        <v>1.7176E-4</v>
      </c>
      <c r="X63" s="82">
        <f t="shared" si="4"/>
        <v>1.7176E-4</v>
      </c>
      <c r="Y63" s="82">
        <f t="shared" si="4"/>
        <v>1.1299999999999998E-4</v>
      </c>
      <c r="Z63" s="82">
        <f t="shared" si="4"/>
        <v>4.067999999999999E-5</v>
      </c>
      <c r="AA63" s="82">
        <f t="shared" si="4"/>
        <v>7.6839999999999989E-5</v>
      </c>
      <c r="AB63" s="82">
        <f t="shared" si="4"/>
        <v>1.4915999999999999E-4</v>
      </c>
      <c r="AC63" s="82">
        <f t="shared" si="4"/>
        <v>1.2203999999999999E-4</v>
      </c>
      <c r="AD63" s="82">
        <f t="shared" si="4"/>
        <v>1.8079999999999998E-4</v>
      </c>
      <c r="AE63" s="82">
        <f t="shared" si="4"/>
        <v>3.0645599999999996E-3</v>
      </c>
      <c r="AF63" s="7"/>
      <c r="AG63" s="8"/>
      <c r="AH63" s="79"/>
      <c r="AI63" s="100"/>
      <c r="AJ63" s="29"/>
      <c r="AK63" s="91"/>
    </row>
    <row r="64" spans="2:37" ht="15" x14ac:dyDescent="0.25">
      <c r="B64" s="92" t="s">
        <v>33</v>
      </c>
      <c r="C64" s="83">
        <f>C60/C62</f>
        <v>1.9238168526356292E-2</v>
      </c>
      <c r="D64" s="83">
        <f t="shared" ref="D64:AE64" si="5">D60/D62</f>
        <v>0</v>
      </c>
      <c r="E64" s="83">
        <f t="shared" si="5"/>
        <v>1.4273479874393379E-2</v>
      </c>
      <c r="F64" s="83">
        <f t="shared" si="5"/>
        <v>0</v>
      </c>
      <c r="G64" s="83">
        <f t="shared" si="5"/>
        <v>0</v>
      </c>
      <c r="H64" s="83">
        <f t="shared" si="5"/>
        <v>4.2140750105351878E-2</v>
      </c>
      <c r="I64" s="83">
        <f t="shared" si="5"/>
        <v>4.7408343868520865E-2</v>
      </c>
      <c r="J64" s="83">
        <f t="shared" si="5"/>
        <v>3.6873156342182897E-2</v>
      </c>
      <c r="K64" s="83">
        <f t="shared" si="5"/>
        <v>7.9013906447534775E-3</v>
      </c>
      <c r="L64" s="83">
        <f t="shared" si="5"/>
        <v>9.481668773704173E-2</v>
      </c>
      <c r="M64" s="83">
        <f t="shared" si="5"/>
        <v>3.160556257901391E-2</v>
      </c>
      <c r="N64" s="83">
        <f t="shared" si="5"/>
        <v>1.2642225031605564E-2</v>
      </c>
      <c r="O64" s="83">
        <f t="shared" si="5"/>
        <v>3.0515715593530671E-2</v>
      </c>
      <c r="P64" s="83">
        <f t="shared" si="5"/>
        <v>6.1455260570304829E-3</v>
      </c>
      <c r="Q64" s="83">
        <f t="shared" si="5"/>
        <v>2.9897153790959103E-2</v>
      </c>
      <c r="R64" s="83">
        <f t="shared" si="5"/>
        <v>2.6548672566371685E-2</v>
      </c>
      <c r="S64" s="83">
        <f t="shared" si="5"/>
        <v>2.6028110359187926E-2</v>
      </c>
      <c r="T64" s="83">
        <f t="shared" si="5"/>
        <v>0</v>
      </c>
      <c r="U64" s="83">
        <f t="shared" si="5"/>
        <v>0.11061946902654868</v>
      </c>
      <c r="V64" s="83">
        <f t="shared" si="5"/>
        <v>2.2123893805309734E-2</v>
      </c>
      <c r="W64" s="83">
        <f t="shared" si="5"/>
        <v>1.7466231951560319E-2</v>
      </c>
      <c r="X64" s="83">
        <f t="shared" si="5"/>
        <v>4.0754541220307409E-2</v>
      </c>
      <c r="Y64" s="83">
        <f t="shared" si="5"/>
        <v>0</v>
      </c>
      <c r="Z64" s="83">
        <f t="shared" si="5"/>
        <v>0</v>
      </c>
      <c r="AA64" s="83">
        <f t="shared" si="5"/>
        <v>1.3014055179593963E-2</v>
      </c>
      <c r="AB64" s="83">
        <f t="shared" si="5"/>
        <v>6.7042102440332532E-3</v>
      </c>
      <c r="AC64" s="83">
        <f t="shared" si="5"/>
        <v>3.277613897082924E-2</v>
      </c>
      <c r="AD64" s="83">
        <f t="shared" si="5"/>
        <v>2.7654867256637169E-2</v>
      </c>
      <c r="AE64" s="83">
        <f t="shared" si="5"/>
        <v>2.4147022737358713E-2</v>
      </c>
      <c r="AF64" s="10"/>
      <c r="AG64" s="11"/>
      <c r="AH64" s="79" t="s">
        <v>7</v>
      </c>
      <c r="AI64" s="101">
        <f>SQRT(((AI61+AI61^2/(AI61^2/(AI62-AI61))))/AI58)</f>
        <v>1.0134341228964948E-3</v>
      </c>
      <c r="AJ64" s="29"/>
      <c r="AK64" s="91"/>
    </row>
    <row r="65" spans="1:38" ht="15" x14ac:dyDescent="0.25">
      <c r="A65" s="12"/>
      <c r="B65" s="92" t="s">
        <v>34</v>
      </c>
      <c r="C65" s="83">
        <f t="shared" ref="C65:AD65" si="6">DAYS360($A68,C2)</f>
        <v>116</v>
      </c>
      <c r="D65" s="83">
        <f t="shared" si="6"/>
        <v>116</v>
      </c>
      <c r="E65" s="83">
        <f t="shared" si="6"/>
        <v>116</v>
      </c>
      <c r="F65" s="83">
        <f t="shared" si="6"/>
        <v>116</v>
      </c>
      <c r="G65" s="83">
        <f t="shared" si="6"/>
        <v>116</v>
      </c>
      <c r="H65" s="83">
        <f t="shared" si="6"/>
        <v>116</v>
      </c>
      <c r="I65" s="83">
        <f t="shared" si="6"/>
        <v>116</v>
      </c>
      <c r="J65" s="83">
        <f t="shared" si="6"/>
        <v>116</v>
      </c>
      <c r="K65" s="83">
        <f t="shared" si="6"/>
        <v>116</v>
      </c>
      <c r="L65" s="83">
        <f t="shared" si="6"/>
        <v>116</v>
      </c>
      <c r="M65" s="83">
        <f t="shared" si="6"/>
        <v>116</v>
      </c>
      <c r="N65" s="83">
        <f t="shared" si="6"/>
        <v>116</v>
      </c>
      <c r="O65" s="83">
        <f t="shared" si="6"/>
        <v>116</v>
      </c>
      <c r="P65" s="83">
        <f t="shared" si="6"/>
        <v>116</v>
      </c>
      <c r="Q65" s="83">
        <f t="shared" si="6"/>
        <v>116</v>
      </c>
      <c r="R65" s="83">
        <f t="shared" si="6"/>
        <v>116</v>
      </c>
      <c r="S65" s="83">
        <f t="shared" si="6"/>
        <v>116</v>
      </c>
      <c r="T65" s="83">
        <f t="shared" si="6"/>
        <v>116</v>
      </c>
      <c r="U65" s="83">
        <f t="shared" si="6"/>
        <v>116</v>
      </c>
      <c r="V65" s="83">
        <f t="shared" si="6"/>
        <v>116</v>
      </c>
      <c r="W65" s="83">
        <f t="shared" si="6"/>
        <v>116</v>
      </c>
      <c r="X65" s="83">
        <f t="shared" si="6"/>
        <v>116</v>
      </c>
      <c r="Y65" s="83">
        <f t="shared" si="6"/>
        <v>116</v>
      </c>
      <c r="Z65" s="83">
        <f t="shared" si="6"/>
        <v>116</v>
      </c>
      <c r="AA65" s="83">
        <f t="shared" si="6"/>
        <v>116</v>
      </c>
      <c r="AB65" s="83">
        <f t="shared" si="6"/>
        <v>116</v>
      </c>
      <c r="AC65" s="83">
        <f t="shared" si="6"/>
        <v>116</v>
      </c>
      <c r="AD65" s="83">
        <f t="shared" si="6"/>
        <v>116</v>
      </c>
      <c r="AE65" s="13"/>
      <c r="AF65" s="9"/>
      <c r="AG65" s="9"/>
      <c r="AK65" s="91"/>
    </row>
    <row r="66" spans="1:38" ht="15.75" thickBot="1" x14ac:dyDescent="0.3">
      <c r="B66" s="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6"/>
      <c r="AI66" s="42"/>
      <c r="AJ66" s="27"/>
      <c r="AK66" s="32"/>
    </row>
    <row r="67" spans="1:38" ht="29.25" thickTop="1" thickBot="1" x14ac:dyDescent="0.4">
      <c r="A67" s="14" t="s">
        <v>12</v>
      </c>
      <c r="C67" s="93" t="s">
        <v>50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G67" s="17"/>
      <c r="AH67" s="43" t="s">
        <v>14</v>
      </c>
      <c r="AI67" s="44"/>
      <c r="AJ67" s="45"/>
      <c r="AK67" s="46"/>
    </row>
    <row r="68" spans="1:38" ht="19.5" thickTop="1" x14ac:dyDescent="0.3">
      <c r="A68" s="86">
        <v>42319</v>
      </c>
      <c r="B68" s="102" t="s">
        <v>51</v>
      </c>
      <c r="C68" s="176" t="str">
        <f>Z1 &amp; "," &amp; G1 &amp; "," &amp; J1 &amp; "," &amp;  "," &amp; Q1</f>
        <v>1B,3B,4B,,6C</v>
      </c>
      <c r="D68" s="176"/>
      <c r="E68" s="174" t="str">
        <f>AB1 &amp; "," &amp; H1 &amp; "," &amp; K1 &amp; "," &amp; P1 &amp; "," &amp; R1 &amp; ","</f>
        <v>5B,3C,4C,6B,7A,</v>
      </c>
      <c r="F68" s="174"/>
      <c r="G68" s="174" t="str">
        <f>E1 &amp; "," &amp; I1 &amp; "," &amp; L1 &amp; "," &amp; S1 &amp; "," &amp; AC1</f>
        <v>0C,4A,4D,7B,5C</v>
      </c>
      <c r="H68" s="174"/>
      <c r="I68" s="174" t="str">
        <f>F1 &amp; "," &amp; M1 &amp; "," &amp; T1 &amp; "," &amp; W1 &amp; "," &amp; X1</f>
        <v>3A,4E,7C,7F,7G</v>
      </c>
      <c r="J68" s="174"/>
      <c r="K68" s="174" t="str">
        <f>D1 &amp; "," &amp; U1 &amp; "," &amp; Y1 &amp; "," &amp; V1 &amp; ","</f>
        <v>0B,7D,1A,7E,</v>
      </c>
      <c r="L68" s="174"/>
      <c r="M68" s="174" t="str">
        <f>C1 &amp; "," &amp; AD1 &amp; "," &amp; AA1 &amp; "," &amp; N1 &amp; "," &amp; O1</f>
        <v>0A,5D,5A,4F,6A</v>
      </c>
      <c r="N68" s="174"/>
      <c r="O68" s="102"/>
      <c r="P68" s="102"/>
      <c r="AG68" s="21"/>
      <c r="AH68" s="52" t="s">
        <v>8</v>
      </c>
      <c r="AI68" s="53" t="str">
        <f>+A1</f>
        <v>Boylston</v>
      </c>
      <c r="AJ68" s="54"/>
      <c r="AK68" s="55"/>
    </row>
    <row r="69" spans="1:38" ht="18.75" x14ac:dyDescent="0.3">
      <c r="A69" s="86"/>
      <c r="B69" s="104" t="s">
        <v>39</v>
      </c>
      <c r="C69" s="176">
        <f>G63+J63+Q63+Z63</f>
        <v>3.4351999999999994E-4</v>
      </c>
      <c r="D69" s="176"/>
      <c r="E69" s="174">
        <f>H63+ K63 + P63+ R63+ AB63</f>
        <v>6.463599999999999E-4</v>
      </c>
      <c r="F69" s="174"/>
      <c r="G69" s="174">
        <f>E63 + I63 + L63 + S63 + AC63</f>
        <v>5.6047999999999992E-4</v>
      </c>
      <c r="H69" s="174"/>
      <c r="I69" s="174">
        <f>F63+ M63 + T63 + W63 + X63</f>
        <v>5.2431999999999999E-4</v>
      </c>
      <c r="J69" s="174"/>
      <c r="K69" s="174">
        <f>D63 + U63 + Y63 + V63</f>
        <v>3.39E-4</v>
      </c>
      <c r="L69" s="174"/>
      <c r="M69" s="174">
        <f>C63 + AD63 + AA63 + N63 + O63</f>
        <v>6.5087999999999995E-4</v>
      </c>
      <c r="N69" s="174"/>
      <c r="O69" s="102"/>
      <c r="P69" s="102"/>
      <c r="AG69" s="21"/>
      <c r="AH69" s="52" t="s">
        <v>9</v>
      </c>
      <c r="AI69" s="52">
        <f>A2</f>
        <v>2016</v>
      </c>
      <c r="AJ69" s="61"/>
      <c r="AK69" s="55"/>
    </row>
    <row r="70" spans="1:38" ht="18.75" x14ac:dyDescent="0.3">
      <c r="A70" s="98" t="s">
        <v>11</v>
      </c>
      <c r="B70" s="104" t="s">
        <v>38</v>
      </c>
      <c r="C70" s="174">
        <f>G60 + J60 + Q60 + Z60</f>
        <v>8</v>
      </c>
      <c r="D70" s="174"/>
      <c r="E70" s="174">
        <f>H60 + K60 + P60 + R60 + AB60</f>
        <v>10</v>
      </c>
      <c r="F70" s="174"/>
      <c r="G70" s="174">
        <f>E60 + I60 + L60 + S60 + AC60</f>
        <v>23</v>
      </c>
      <c r="H70" s="174"/>
      <c r="I70" s="174">
        <f>F60 + M60 + T60 + W60 + X60</f>
        <v>12</v>
      </c>
      <c r="J70" s="174"/>
      <c r="K70" s="174">
        <f>D60 + U60 + Y60 + V60</f>
        <v>7</v>
      </c>
      <c r="L70" s="174"/>
      <c r="M70" s="174">
        <f>C60 + AD60 + AA60 + N60 + O60</f>
        <v>14</v>
      </c>
      <c r="N70" s="174"/>
      <c r="P70" s="2">
        <f>SUM(C70:N70)</f>
        <v>74</v>
      </c>
      <c r="AG70" s="21"/>
      <c r="AH70" s="62" t="s">
        <v>10</v>
      </c>
      <c r="AI70" s="109">
        <f>AI57</f>
        <v>28</v>
      </c>
      <c r="AJ70" s="61"/>
      <c r="AK70" s="55"/>
    </row>
    <row r="71" spans="1:38" ht="18.75" x14ac:dyDescent="0.3">
      <c r="A71" s="98"/>
      <c r="B71" s="104" t="s">
        <v>40</v>
      </c>
      <c r="C71" s="174">
        <f>AVERAGE(G65,J65,Q65,Z65)</f>
        <v>116</v>
      </c>
      <c r="D71" s="174"/>
      <c r="E71" s="175">
        <f>AVERAGE(H65, K65, P65, R65, AB65)</f>
        <v>116</v>
      </c>
      <c r="F71" s="175"/>
      <c r="G71" s="175">
        <f>AVERAGE(E65, I65, L65, S65, AC65)</f>
        <v>116</v>
      </c>
      <c r="H71" s="175"/>
      <c r="I71" s="175">
        <f>AVERAGE(F65, M65, T65, W65, X65)</f>
        <v>116</v>
      </c>
      <c r="J71" s="175"/>
      <c r="K71" s="175">
        <f>AVERAGE(D65, U65, Y65, V65)</f>
        <v>116</v>
      </c>
      <c r="L71" s="175"/>
      <c r="M71" s="175">
        <f>AVERAGE(C65, AD65, AA65, N65, O65)</f>
        <v>116</v>
      </c>
      <c r="N71" s="175"/>
      <c r="AG71" s="21"/>
      <c r="AH71" s="52" t="s">
        <v>30</v>
      </c>
      <c r="AI71" s="105">
        <f>AE61</f>
        <v>678</v>
      </c>
      <c r="AJ71" s="61"/>
      <c r="AK71" s="55"/>
    </row>
    <row r="72" spans="1:38" ht="18.75" x14ac:dyDescent="0.3">
      <c r="A72" s="98"/>
      <c r="B72" s="94" t="s">
        <v>1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AE72" s="16" t="s">
        <v>16</v>
      </c>
      <c r="AF72" s="16" t="s">
        <v>15</v>
      </c>
      <c r="AG72" s="21"/>
      <c r="AH72" s="52" t="s">
        <v>42</v>
      </c>
      <c r="AI72" s="105">
        <f>AE60</f>
        <v>74</v>
      </c>
      <c r="AJ72" s="61"/>
      <c r="AK72" s="55"/>
    </row>
    <row r="73" spans="1:38" ht="18.75" x14ac:dyDescent="0.3">
      <c r="A73" s="22"/>
      <c r="B73" s="19">
        <v>10.9</v>
      </c>
      <c r="C73" s="171">
        <f>C70/(B73*C69*C71)</f>
        <v>18.418466678857239</v>
      </c>
      <c r="D73" s="172"/>
      <c r="E73" s="171">
        <f>E70/(B73*E69*E71)</f>
        <v>12.23604429714292</v>
      </c>
      <c r="F73" s="172"/>
      <c r="G73" s="171">
        <f>G70/(B73*G69*G71)</f>
        <v>32.455120720405702</v>
      </c>
      <c r="H73" s="172"/>
      <c r="I73" s="171">
        <f>I70/(B73*I69*I71)</f>
        <v>18.10090690853211</v>
      </c>
      <c r="J73" s="172"/>
      <c r="K73" s="171">
        <f>K70/(B73*K69*K71)</f>
        <v>16.331040455253415</v>
      </c>
      <c r="L73" s="172"/>
      <c r="M73" s="171">
        <f>M70/(B73*M69*M71)</f>
        <v>17.011500474222309</v>
      </c>
      <c r="N73" s="172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20">
        <f>AVERAGE(C73:AD73)</f>
        <v>19.092179922402281</v>
      </c>
      <c r="AF73" s="20">
        <f>STDEV(C73:AD73)</f>
        <v>6.913239650533983</v>
      </c>
      <c r="AG73" s="21"/>
      <c r="AH73" s="52"/>
      <c r="AI73" s="105"/>
      <c r="AJ73" s="61"/>
      <c r="AK73" s="55"/>
    </row>
    <row r="74" spans="1:38" ht="18.75" x14ac:dyDescent="0.3">
      <c r="A74" s="26"/>
      <c r="B74" s="24">
        <v>19.8</v>
      </c>
      <c r="C74" s="171">
        <f>C70/(B74*C71*C69)</f>
        <v>10.139458929269894</v>
      </c>
      <c r="D74" s="172"/>
      <c r="E74" s="171">
        <f>E70/(B74*E69*E71)</f>
        <v>6.7360041837806985</v>
      </c>
      <c r="F74" s="172"/>
      <c r="G74" s="171">
        <f>G70/(B74*G69*G71)</f>
        <v>17.866707871334448</v>
      </c>
      <c r="H74" s="172"/>
      <c r="I74" s="171">
        <f>I70/(B74*I69*I71)</f>
        <v>9.964640671868688</v>
      </c>
      <c r="J74" s="172"/>
      <c r="K74" s="171">
        <f>K70/(B74*K69*K71)</f>
        <v>8.9903202506193036</v>
      </c>
      <c r="L74" s="172"/>
      <c r="M74" s="171">
        <f>M70/(B74*M69*M71)</f>
        <v>9.3649169277284425</v>
      </c>
      <c r="N74" s="172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0">
        <f>AVERAGE(C74:AD74)</f>
        <v>10.510341472433579</v>
      </c>
      <c r="AF74" s="20">
        <f>STDEV(C74:AD74)</f>
        <v>3.8057733429707241</v>
      </c>
      <c r="AG74" s="21"/>
      <c r="AH74" s="106" t="s">
        <v>43</v>
      </c>
      <c r="AI74" s="63"/>
      <c r="AJ74" s="61"/>
      <c r="AK74" s="55"/>
    </row>
    <row r="75" spans="1:38" ht="18.75" x14ac:dyDescent="0.3">
      <c r="B75" s="19">
        <v>28.7</v>
      </c>
      <c r="C75" s="171">
        <f>C70/(B75*C69*C71)</f>
        <v>6.9951667874405548</v>
      </c>
      <c r="D75" s="172"/>
      <c r="E75" s="171">
        <f>E70/(B75*E69*E71)</f>
        <v>4.6471387748730955</v>
      </c>
      <c r="F75" s="172"/>
      <c r="G75" s="171">
        <f>G70/(B75*G69*G71)</f>
        <v>12.326160831094848</v>
      </c>
      <c r="H75" s="172"/>
      <c r="I75" s="171">
        <f>I70/(B75*I69*I71)</f>
        <v>6.8745604635191651</v>
      </c>
      <c r="J75" s="172"/>
      <c r="K75" s="171">
        <f>K70/(B75*K69*K71)</f>
        <v>6.2023812181972904</v>
      </c>
      <c r="L75" s="172"/>
      <c r="M75" s="171">
        <f>M70/(B75*M69*M71)</f>
        <v>6.4608137689555116</v>
      </c>
      <c r="N75" s="17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0">
        <f>AVERAGE(C75:AD75)</f>
        <v>7.2510369740134104</v>
      </c>
      <c r="AF75" s="20">
        <f>STDEV(C75:AD75)</f>
        <v>2.6255857906209181</v>
      </c>
      <c r="AG75" s="21"/>
      <c r="AH75" s="62" t="s">
        <v>44</v>
      </c>
      <c r="AI75" s="107">
        <f>AVERAGE(C73:N75)</f>
        <v>12.284519456283093</v>
      </c>
      <c r="AJ75" s="61" t="s">
        <v>48</v>
      </c>
      <c r="AK75" s="110">
        <f>AI75/0.386</f>
        <v>31.825179938557234</v>
      </c>
      <c r="AL75" s="110" t="s">
        <v>49</v>
      </c>
    </row>
    <row r="76" spans="1:38" ht="18.75" x14ac:dyDescent="0.3">
      <c r="B76" s="1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0"/>
      <c r="AF76" s="20"/>
      <c r="AG76" s="21"/>
      <c r="AH76" s="71" t="s">
        <v>94</v>
      </c>
      <c r="AI76" s="72">
        <f>_xlfn.VAR.S(C73:N75)</f>
        <v>46.754108022140343</v>
      </c>
      <c r="AJ76" s="61" t="s">
        <v>48</v>
      </c>
      <c r="AK76" s="110">
        <f>AI76/0.386</f>
        <v>121.12463218171074</v>
      </c>
      <c r="AL76" s="110" t="s">
        <v>49</v>
      </c>
    </row>
    <row r="77" spans="1:38" ht="18.75" x14ac:dyDescent="0.3">
      <c r="B77" s="77" t="s">
        <v>41</v>
      </c>
      <c r="C77" s="173">
        <f>AVERAGE(C73:C75)</f>
        <v>11.851030798522563</v>
      </c>
      <c r="D77" s="173"/>
      <c r="E77" s="173">
        <f>AVERAGE(E73:E75)</f>
        <v>7.8730624185989049</v>
      </c>
      <c r="F77" s="173"/>
      <c r="G77" s="173">
        <f>AVERAGE(G73:G75)</f>
        <v>20.882663140944999</v>
      </c>
      <c r="H77" s="173"/>
      <c r="I77" s="173">
        <f>AVERAGE(I73:I75)</f>
        <v>11.646702681306655</v>
      </c>
      <c r="J77" s="173"/>
      <c r="K77" s="173">
        <f>AVERAGE(K73:K75)</f>
        <v>10.507913974690004</v>
      </c>
      <c r="L77" s="173"/>
      <c r="M77" s="173">
        <f>AVERAGE(M73:M75)</f>
        <v>10.945743723635422</v>
      </c>
      <c r="N77" s="173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20"/>
      <c r="AF77" s="20"/>
      <c r="AG77" s="21"/>
      <c r="AH77" s="71" t="s">
        <v>46</v>
      </c>
      <c r="AI77" s="72">
        <f>MAX(C73:R75)</f>
        <v>32.455120720405702</v>
      </c>
      <c r="AJ77" s="61" t="s">
        <v>48</v>
      </c>
      <c r="AK77" s="110">
        <f>AI77/0.386</f>
        <v>84.080623627994044</v>
      </c>
      <c r="AL77" s="110" t="s">
        <v>49</v>
      </c>
    </row>
    <row r="78" spans="1:38" ht="18.75" x14ac:dyDescent="0.3">
      <c r="S78" s="33"/>
      <c r="AG78" s="21"/>
      <c r="AH78" s="71" t="s">
        <v>47</v>
      </c>
      <c r="AI78" s="72">
        <f>MIN(C73:T75)</f>
        <v>4.6471387748730955</v>
      </c>
      <c r="AJ78" s="108" t="s">
        <v>48</v>
      </c>
      <c r="AK78" s="110">
        <f>AI78/0.386</f>
        <v>12.039219624023563</v>
      </c>
      <c r="AL78" s="110" t="s">
        <v>49</v>
      </c>
    </row>
    <row r="79" spans="1:38" ht="18.75" x14ac:dyDescent="0.3">
      <c r="AG79" s="21"/>
      <c r="AH79" s="68" t="s">
        <v>53</v>
      </c>
      <c r="AI79" s="72">
        <f>COUNT(C73:T75)</f>
        <v>18</v>
      </c>
      <c r="AJ79" s="61"/>
      <c r="AK79" s="55"/>
    </row>
    <row r="80" spans="1:38" ht="18.75" x14ac:dyDescent="0.3">
      <c r="AG80" s="21"/>
      <c r="AH80" s="66"/>
      <c r="AI80" s="72"/>
      <c r="AJ80" s="61"/>
      <c r="AK80" s="61"/>
    </row>
    <row r="81" spans="1:39" ht="18.75" x14ac:dyDescent="0.3">
      <c r="A81" s="18"/>
      <c r="AG81" s="21"/>
      <c r="AH81" s="68" t="s">
        <v>54</v>
      </c>
      <c r="AI81" s="69"/>
      <c r="AJ81" s="110">
        <f>AI75-AI84</f>
        <v>9.4802297121011527</v>
      </c>
      <c r="AK81" s="110">
        <f>AI75+AI84</f>
        <v>15.088809200465032</v>
      </c>
      <c r="AL81" s="111" t="s">
        <v>48</v>
      </c>
      <c r="AM81"/>
    </row>
    <row r="82" spans="1:39" ht="18.75" x14ac:dyDescent="0.3">
      <c r="AE82" s="9"/>
      <c r="AF82" s="9"/>
      <c r="AG82" s="21"/>
      <c r="AH82" s="71"/>
      <c r="AI82" s="74"/>
      <c r="AJ82" s="110">
        <f>AJ81/0.386</f>
        <v>24.560180601298324</v>
      </c>
      <c r="AK82" s="110">
        <f>AK81/0.386</f>
        <v>39.090179275816148</v>
      </c>
      <c r="AL82" s="111" t="s">
        <v>49</v>
      </c>
    </row>
    <row r="83" spans="1:39" ht="23.25" x14ac:dyDescent="0.35">
      <c r="AE83" s="38"/>
      <c r="AF83" s="39"/>
      <c r="AG83" s="21"/>
      <c r="AI83" s="18"/>
    </row>
    <row r="84" spans="1:39" ht="23.25" x14ac:dyDescent="0.35">
      <c r="AE84" s="39"/>
      <c r="AF84" s="41"/>
      <c r="AG84" s="21"/>
      <c r="AH84" s="2" t="s">
        <v>52</v>
      </c>
      <c r="AI84" s="18">
        <f>1.74*AI85</f>
        <v>2.8042897441819394</v>
      </c>
    </row>
    <row r="85" spans="1:39" s="18" customFormat="1" ht="23.2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39"/>
      <c r="AF85" s="41"/>
      <c r="AG85" s="27"/>
      <c r="AH85" s="2" t="s">
        <v>96</v>
      </c>
      <c r="AI85" s="18">
        <f>SQRT(AI76)/SQRT(AI79)</f>
        <v>1.611660772518356</v>
      </c>
    </row>
    <row r="86" spans="1:39" ht="15" x14ac:dyDescent="0.25">
      <c r="R86" s="47"/>
      <c r="AE86" s="48"/>
      <c r="AF86" s="49"/>
      <c r="AI86" s="18"/>
      <c r="AJ86" s="31"/>
      <c r="AK86" s="31"/>
    </row>
    <row r="87" spans="1:39" ht="17.25" customHeight="1" x14ac:dyDescent="0.25">
      <c r="R87" s="56"/>
      <c r="AE87" s="57"/>
      <c r="AF87" s="49"/>
      <c r="AI87" s="18"/>
      <c r="AJ87" s="31"/>
      <c r="AK87" s="31"/>
    </row>
    <row r="88" spans="1:39" ht="15.75" customHeight="1" x14ac:dyDescent="0.25">
      <c r="R88" s="56"/>
      <c r="AE88" s="57"/>
      <c r="AF88" s="49"/>
      <c r="AH88" s="18"/>
      <c r="AI88" s="18"/>
      <c r="AJ88" s="31"/>
      <c r="AK88" s="31"/>
      <c r="AM88" s="36"/>
    </row>
    <row r="89" spans="1:39" ht="15" customHeight="1" x14ac:dyDescent="0.25">
      <c r="R89" s="26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57"/>
      <c r="AF89" s="49"/>
      <c r="AH89" s="30"/>
      <c r="AI89" s="31"/>
      <c r="AJ89" s="31"/>
      <c r="AK89" s="31"/>
    </row>
    <row r="90" spans="1:39" ht="15.75" customHeight="1" x14ac:dyDescent="0.3">
      <c r="R90" s="26"/>
      <c r="AE90" s="48"/>
      <c r="AF90" s="49"/>
      <c r="AH90" s="34"/>
      <c r="AI90" s="35"/>
      <c r="AJ90" s="31"/>
      <c r="AK90" s="31"/>
    </row>
    <row r="91" spans="1:39" ht="16.5" customHeight="1" x14ac:dyDescent="0.3">
      <c r="R91" s="26"/>
      <c r="AE91" s="48"/>
      <c r="AF91" s="49"/>
      <c r="AG91" s="9"/>
      <c r="AH91" s="34"/>
      <c r="AI91" s="31"/>
    </row>
    <row r="92" spans="1:39" ht="16.5" customHeight="1" x14ac:dyDescent="0.35">
      <c r="R92" s="26"/>
      <c r="AE92" s="48"/>
      <c r="AF92" s="49"/>
      <c r="AG92" s="39"/>
      <c r="AH92" s="34"/>
      <c r="AI92" s="37"/>
    </row>
    <row r="93" spans="1:39" ht="16.5" customHeight="1" x14ac:dyDescent="0.3">
      <c r="R93" s="26"/>
      <c r="AE93" s="48"/>
      <c r="AF93" s="49"/>
      <c r="AG93" s="41"/>
      <c r="AH93" s="34"/>
      <c r="AI93" s="31"/>
    </row>
    <row r="94" spans="1:39" ht="15" x14ac:dyDescent="0.2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70"/>
      <c r="S94" s="7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48"/>
      <c r="AF94" s="49"/>
      <c r="AG94" s="41"/>
    </row>
    <row r="95" spans="1:39" ht="15" x14ac:dyDescent="0.25">
      <c r="A95" s="64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70"/>
      <c r="S95" s="7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48"/>
      <c r="AF95" s="49"/>
      <c r="AG95" s="50"/>
      <c r="AH95" s="40"/>
      <c r="AJ95" s="51"/>
      <c r="AK95" s="51"/>
      <c r="AL95" s="51"/>
    </row>
    <row r="96" spans="1:39" ht="15" x14ac:dyDescent="0.25">
      <c r="A96" s="64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70"/>
      <c r="S96" s="7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48"/>
      <c r="AF96" s="49"/>
      <c r="AG96" s="50"/>
      <c r="AH96" s="40"/>
      <c r="AJ96" s="51"/>
      <c r="AK96" s="60"/>
      <c r="AL96" s="60"/>
    </row>
    <row r="97" spans="1:38" ht="15" x14ac:dyDescent="0.25">
      <c r="A97" s="64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70"/>
      <c r="S97" s="7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48"/>
      <c r="AF97" s="49"/>
      <c r="AG97" s="50"/>
      <c r="AH97" s="40"/>
      <c r="AJ97" s="51"/>
      <c r="AK97" s="60"/>
      <c r="AL97" s="60"/>
    </row>
    <row r="98" spans="1:38" ht="15" x14ac:dyDescent="0.25">
      <c r="A98" s="64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70"/>
      <c r="S98" s="7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48"/>
      <c r="AF98" s="49"/>
      <c r="AG98" s="50"/>
      <c r="AH98" s="40"/>
      <c r="AI98" s="51"/>
      <c r="AJ98" s="51"/>
      <c r="AK98" s="60"/>
      <c r="AL98" s="60"/>
    </row>
    <row r="99" spans="1:38" ht="15" x14ac:dyDescent="0.25">
      <c r="A99" s="67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70"/>
      <c r="S99" s="7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48"/>
      <c r="AF99" s="49"/>
      <c r="AG99" s="50"/>
      <c r="AH99" s="58"/>
      <c r="AI99" s="59"/>
      <c r="AJ99" s="51"/>
      <c r="AK99" s="60"/>
      <c r="AL99" s="60"/>
    </row>
    <row r="100" spans="1:38" ht="15" x14ac:dyDescent="0.25">
      <c r="A100" s="67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70"/>
      <c r="S100" s="7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48"/>
      <c r="AF100" s="49"/>
      <c r="AG100" s="50"/>
      <c r="AH100" s="58"/>
      <c r="AI100" s="59"/>
      <c r="AJ100" s="51"/>
      <c r="AK100" s="60"/>
      <c r="AL100" s="60"/>
    </row>
    <row r="101" spans="1:38" ht="15" x14ac:dyDescent="0.25">
      <c r="A101" s="73"/>
      <c r="R101" s="70"/>
      <c r="S101" s="70"/>
      <c r="AE101" s="48"/>
      <c r="AF101" s="49"/>
      <c r="AG101" s="50"/>
      <c r="AH101" s="58"/>
      <c r="AI101" s="59"/>
      <c r="AJ101" s="51"/>
      <c r="AK101" s="60"/>
      <c r="AL101" s="60"/>
    </row>
    <row r="102" spans="1:38" x14ac:dyDescent="0.2">
      <c r="A102" s="73"/>
      <c r="B102" s="27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AE102" s="48"/>
      <c r="AF102" s="49"/>
      <c r="AG102" s="50"/>
      <c r="AH102" s="65"/>
      <c r="AI102" s="59"/>
      <c r="AJ102" s="51"/>
      <c r="AK102" s="60"/>
      <c r="AL102" s="60"/>
    </row>
    <row r="103" spans="1:38" s="60" customFormat="1" x14ac:dyDescent="0.2">
      <c r="A103" s="73"/>
      <c r="B103" s="27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48"/>
      <c r="AF103" s="49"/>
      <c r="AG103" s="50"/>
      <c r="AH103" s="58"/>
      <c r="AI103" s="59"/>
      <c r="AJ103" s="51"/>
    </row>
    <row r="104" spans="1:38" s="60" customFormat="1" x14ac:dyDescent="0.2">
      <c r="A104" s="7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48"/>
      <c r="AF104" s="49"/>
      <c r="AG104" s="50"/>
      <c r="AH104" s="58"/>
      <c r="AI104" s="59"/>
      <c r="AJ104" s="51"/>
    </row>
    <row r="105" spans="1:38" s="60" customFormat="1" x14ac:dyDescent="0.2">
      <c r="A105" s="7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48"/>
      <c r="AF105" s="49"/>
      <c r="AG105" s="50"/>
      <c r="AH105" s="58"/>
      <c r="AI105" s="59"/>
      <c r="AJ105" s="51"/>
    </row>
    <row r="106" spans="1:38" s="60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48"/>
      <c r="AF106" s="49"/>
      <c r="AG106" s="50"/>
      <c r="AH106" s="58"/>
      <c r="AI106" s="59"/>
      <c r="AJ106" s="51"/>
    </row>
    <row r="107" spans="1:38" s="60" customFormat="1" x14ac:dyDescent="0.2">
      <c r="A107" s="22"/>
      <c r="B107" s="1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48"/>
      <c r="AF107" s="49"/>
      <c r="AG107" s="50"/>
      <c r="AH107" s="58"/>
      <c r="AI107" s="59"/>
      <c r="AJ107" s="51"/>
    </row>
    <row r="108" spans="1:38" s="60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48"/>
      <c r="AF108" s="49"/>
      <c r="AG108" s="50"/>
      <c r="AH108" s="58"/>
      <c r="AI108" s="59"/>
      <c r="AJ108" s="51"/>
    </row>
    <row r="109" spans="1:38" s="60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48"/>
      <c r="AF109" s="49"/>
      <c r="AG109" s="50"/>
      <c r="AH109" s="58"/>
      <c r="AI109" s="59"/>
      <c r="AJ109" s="51"/>
    </row>
    <row r="110" spans="1:38" x14ac:dyDescent="0.2">
      <c r="AE110" s="48"/>
      <c r="AF110" s="49"/>
      <c r="AG110" s="50"/>
      <c r="AH110" s="58"/>
      <c r="AI110" s="59"/>
      <c r="AJ110" s="51"/>
      <c r="AK110" s="51"/>
      <c r="AL110" s="51"/>
    </row>
    <row r="111" spans="1:38" x14ac:dyDescent="0.2">
      <c r="AE111" s="48"/>
      <c r="AF111" s="49"/>
      <c r="AG111" s="50"/>
      <c r="AH111" s="58"/>
      <c r="AI111" s="59"/>
      <c r="AJ111" s="51"/>
      <c r="AK111" s="51"/>
      <c r="AL111" s="51"/>
    </row>
    <row r="112" spans="1:38" x14ac:dyDescent="0.2">
      <c r="AE112" s="48"/>
      <c r="AF112" s="49"/>
      <c r="AG112" s="50"/>
      <c r="AH112" s="58"/>
      <c r="AI112" s="59"/>
      <c r="AJ112" s="51"/>
      <c r="AK112" s="51"/>
      <c r="AL112" s="51"/>
    </row>
    <row r="113" spans="31:38" x14ac:dyDescent="0.2">
      <c r="AE113" s="48"/>
      <c r="AF113" s="49"/>
      <c r="AG113" s="50"/>
      <c r="AH113" s="58"/>
      <c r="AI113" s="51"/>
      <c r="AJ113" s="51"/>
      <c r="AK113" s="51"/>
      <c r="AL113" s="51"/>
    </row>
    <row r="114" spans="31:38" x14ac:dyDescent="0.2">
      <c r="AE114" s="40"/>
      <c r="AF114" s="50"/>
      <c r="AG114" s="50"/>
      <c r="AH114" s="58"/>
      <c r="AI114" s="51"/>
      <c r="AJ114" s="51"/>
      <c r="AK114" s="51"/>
      <c r="AL114" s="51"/>
    </row>
    <row r="115" spans="31:38" x14ac:dyDescent="0.2">
      <c r="AE115" s="40"/>
      <c r="AF115" s="40"/>
      <c r="AG115" s="50"/>
      <c r="AH115" s="58"/>
      <c r="AI115" s="51"/>
      <c r="AJ115" s="51"/>
      <c r="AK115" s="51"/>
      <c r="AL115" s="51"/>
    </row>
    <row r="116" spans="31:38" x14ac:dyDescent="0.2">
      <c r="AG116" s="50"/>
      <c r="AH116" s="58"/>
      <c r="AI116" s="51"/>
      <c r="AJ116" s="51"/>
      <c r="AK116" s="51"/>
      <c r="AL116" s="51"/>
    </row>
    <row r="117" spans="31:38" x14ac:dyDescent="0.2">
      <c r="AG117" s="50"/>
      <c r="AH117" s="76"/>
      <c r="AI117" s="51"/>
      <c r="AJ117" s="51"/>
      <c r="AK117" s="51"/>
      <c r="AL117" s="51"/>
    </row>
    <row r="118" spans="31:38" x14ac:dyDescent="0.2">
      <c r="AG118" s="50"/>
      <c r="AH118" s="76"/>
      <c r="AI118" s="51"/>
      <c r="AJ118" s="51"/>
      <c r="AK118" s="51"/>
      <c r="AL118" s="51"/>
    </row>
    <row r="119" spans="31:38" x14ac:dyDescent="0.2">
      <c r="AG119" s="50"/>
      <c r="AH119" s="76"/>
      <c r="AI119" s="51"/>
      <c r="AJ119" s="51"/>
      <c r="AK119" s="51"/>
      <c r="AL119" s="51"/>
    </row>
    <row r="120" spans="31:38" x14ac:dyDescent="0.2">
      <c r="AG120" s="50"/>
      <c r="AH120" s="76"/>
      <c r="AI120" s="51"/>
      <c r="AJ120" s="51"/>
      <c r="AK120" s="51"/>
      <c r="AL120" s="51"/>
    </row>
    <row r="121" spans="31:38" x14ac:dyDescent="0.2">
      <c r="AG121" s="50"/>
      <c r="AH121" s="76"/>
      <c r="AI121" s="51"/>
      <c r="AJ121" s="51"/>
      <c r="AK121" s="51"/>
      <c r="AL121" s="51"/>
    </row>
    <row r="122" spans="31:38" x14ac:dyDescent="0.2">
      <c r="AG122" s="50"/>
      <c r="AH122" s="76"/>
      <c r="AI122" s="51"/>
      <c r="AJ122" s="51"/>
      <c r="AK122" s="51"/>
      <c r="AL122" s="51"/>
    </row>
    <row r="123" spans="31:38" x14ac:dyDescent="0.2">
      <c r="AG123" s="50"/>
      <c r="AH123" s="76"/>
      <c r="AI123" s="51"/>
      <c r="AJ123" s="51"/>
      <c r="AK123" s="51"/>
      <c r="AL123" s="51"/>
    </row>
    <row r="124" spans="31:38" x14ac:dyDescent="0.2">
      <c r="AG124" s="40"/>
      <c r="AH124" s="76"/>
      <c r="AI124" s="51"/>
      <c r="AJ124" s="51"/>
      <c r="AK124" s="51"/>
      <c r="AL124" s="51"/>
    </row>
    <row r="125" spans="31:38" x14ac:dyDescent="0.2">
      <c r="AH125" s="76"/>
      <c r="AI125" s="51"/>
    </row>
    <row r="126" spans="31:38" x14ac:dyDescent="0.2">
      <c r="AH126" s="76"/>
      <c r="AI126" s="51"/>
    </row>
    <row r="127" spans="31:38" x14ac:dyDescent="0.2">
      <c r="AH127" s="76"/>
      <c r="AI127" s="51"/>
    </row>
  </sheetData>
  <mergeCells count="48">
    <mergeCell ref="M69:N69"/>
    <mergeCell ref="C68:D68"/>
    <mergeCell ref="E68:F68"/>
    <mergeCell ref="G68:H68"/>
    <mergeCell ref="I68:J68"/>
    <mergeCell ref="K68:L68"/>
    <mergeCell ref="M68:N68"/>
    <mergeCell ref="C69:D69"/>
    <mergeCell ref="E69:F69"/>
    <mergeCell ref="G69:H69"/>
    <mergeCell ref="I69:J69"/>
    <mergeCell ref="K69:L69"/>
    <mergeCell ref="M71:N71"/>
    <mergeCell ref="C70:D70"/>
    <mergeCell ref="E70:F70"/>
    <mergeCell ref="G70:H70"/>
    <mergeCell ref="I70:J70"/>
    <mergeCell ref="K70:L70"/>
    <mergeCell ref="M70:N70"/>
    <mergeCell ref="C71:D71"/>
    <mergeCell ref="E71:F71"/>
    <mergeCell ref="G71:H71"/>
    <mergeCell ref="I71:J71"/>
    <mergeCell ref="K71:L71"/>
    <mergeCell ref="M74:N74"/>
    <mergeCell ref="C73:D73"/>
    <mergeCell ref="E73:F73"/>
    <mergeCell ref="G73:H73"/>
    <mergeCell ref="I73:J73"/>
    <mergeCell ref="K73:L73"/>
    <mergeCell ref="M73:N73"/>
    <mergeCell ref="C74:D74"/>
    <mergeCell ref="E74:F74"/>
    <mergeCell ref="G74:H74"/>
    <mergeCell ref="I74:J74"/>
    <mergeCell ref="K74:L74"/>
    <mergeCell ref="M77:N77"/>
    <mergeCell ref="C75:D75"/>
    <mergeCell ref="E75:F75"/>
    <mergeCell ref="G75:H75"/>
    <mergeCell ref="I75:J75"/>
    <mergeCell ref="K75:L75"/>
    <mergeCell ref="M75:N75"/>
    <mergeCell ref="C77:D77"/>
    <mergeCell ref="E77:F77"/>
    <mergeCell ref="G77:H77"/>
    <mergeCell ref="I77:J77"/>
    <mergeCell ref="K77:L77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Sudbury 2018</vt:lpstr>
      <vt:lpstr>BH Ponka 2018</vt:lpstr>
      <vt:lpstr>BH Wampa-Chick 2018</vt:lpstr>
      <vt:lpstr>BH GB-Houghton 2018</vt:lpstr>
      <vt:lpstr>BH Houghton 2018</vt:lpstr>
      <vt:lpstr>BH Chick 2018</vt:lpstr>
      <vt:lpstr>BH 2018</vt:lpstr>
      <vt:lpstr>Wachusett 2018</vt:lpstr>
      <vt:lpstr>Boylston 2016</vt:lpstr>
      <vt:lpstr>French Hill 2018</vt:lpstr>
      <vt:lpstr>Justice Brook 2016 Moose</vt:lpstr>
      <vt:lpstr>Justice Brook 2016</vt:lpstr>
      <vt:lpstr>Sudbury 2016</vt:lpstr>
      <vt:lpstr>Sheet1</vt:lpstr>
      <vt:lpstr>Quabbin Park 2015</vt:lpstr>
      <vt:lpstr>Index</vt:lpstr>
    </vt:vector>
  </TitlesOfParts>
  <Company>INECOL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Lichoso</dc:creator>
  <cp:lastModifiedBy>kmackenzie</cp:lastModifiedBy>
  <dcterms:created xsi:type="dcterms:W3CDTF">2008-03-14T15:33:37Z</dcterms:created>
  <dcterms:modified xsi:type="dcterms:W3CDTF">2018-09-25T20:05:17Z</dcterms:modified>
</cp:coreProperties>
</file>